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rior\Dropbox (AAA - AmerAmbAssoc)\AAA - AmerAmbAssoc Team Folder\State Associations\AIMHI\Webinars\2022.07.20 How Much Funding AIMHI\"/>
    </mc:Choice>
  </mc:AlternateContent>
  <xr:revisionPtr revIDLastSave="0" documentId="8_{8BA2D8F8-4318-4053-9EFF-B8CDB856379B}" xr6:coauthVersionLast="47" xr6:coauthVersionMax="47" xr10:uidLastSave="{00000000-0000-0000-0000-000000000000}"/>
  <workbookProtection workbookAlgorithmName="SHA-512" workbookHashValue="N9JNfHjNiFm5pZlKXiYvKaHlWy3Hzj03m52R0OqVH1f/YJbjr/YGZTTEAFZ4wHLYXMY/Y9JX2B7xC8virNi6GQ==" workbookSaltValue="aiEqXmCXX7MoWCsf8MxBgQ==" workbookSpinCount="100000" lockStructure="1"/>
  <bookViews>
    <workbookView xWindow="-28920" yWindow="-120" windowWidth="29040" windowHeight="15840" firstSheet="2" activeTab="3" xr2:uid="{00000000-000D-0000-FFFF-FFFF00000000}"/>
  </bookViews>
  <sheets>
    <sheet name="Service Delivery Cost Example" sheetId="1" r:id="rId1"/>
    <sheet name="Service Delivery Cost Template" sheetId="4" r:id="rId2"/>
    <sheet name="Economic Analysis Template" sheetId="9" r:id="rId3"/>
    <sheet name="Economic Analysis Example" sheetId="7" r:id="rId4"/>
    <sheet name="Payer Analysis Example" sheetId="3" r:id="rId5"/>
    <sheet name="Payer Analysis Template" sheetId="5" r:id="rId6"/>
    <sheet name="Service Changes Example" sheetId="8" r:id="rId7"/>
    <sheet name="Service Changes Template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3" l="1"/>
  <c r="O27" i="3"/>
  <c r="O28" i="3"/>
  <c r="O29" i="3"/>
  <c r="O25" i="3"/>
  <c r="N27" i="3"/>
  <c r="N26" i="3"/>
  <c r="N25" i="3"/>
  <c r="L25" i="3"/>
  <c r="I26" i="10"/>
  <c r="E18" i="10"/>
  <c r="F18" i="10"/>
  <c r="G18" i="10" s="1"/>
  <c r="F41" i="10"/>
  <c r="E41" i="10"/>
  <c r="I40" i="10"/>
  <c r="G40" i="10"/>
  <c r="I39" i="10"/>
  <c r="G39" i="10"/>
  <c r="I38" i="10"/>
  <c r="I41" i="10" s="1"/>
  <c r="G38" i="10"/>
  <c r="F30" i="10"/>
  <c r="G30" i="10" s="1"/>
  <c r="E30" i="10"/>
  <c r="I29" i="10"/>
  <c r="G29" i="10"/>
  <c r="I28" i="10"/>
  <c r="G28" i="10"/>
  <c r="I27" i="10"/>
  <c r="G27" i="10"/>
  <c r="G26" i="10"/>
  <c r="I17" i="10"/>
  <c r="G17" i="10"/>
  <c r="I16" i="10"/>
  <c r="G16" i="10"/>
  <c r="I15" i="10"/>
  <c r="G15" i="10"/>
  <c r="F9" i="10"/>
  <c r="I43" i="10" s="1"/>
  <c r="E9" i="10"/>
  <c r="G9" i="10" s="1"/>
  <c r="I8" i="10"/>
  <c r="G8" i="10"/>
  <c r="I7" i="10"/>
  <c r="G7" i="10"/>
  <c r="I6" i="10"/>
  <c r="G6" i="10"/>
  <c r="I5" i="10"/>
  <c r="G5" i="10"/>
  <c r="E18" i="5"/>
  <c r="K30" i="5"/>
  <c r="C30" i="5"/>
  <c r="F27" i="5"/>
  <c r="G18" i="5"/>
  <c r="F18" i="5"/>
  <c r="K18" i="5"/>
  <c r="I18" i="5"/>
  <c r="H17" i="5"/>
  <c r="H18" i="5" s="1"/>
  <c r="K11" i="5"/>
  <c r="J11" i="5"/>
  <c r="I11" i="5"/>
  <c r="G11" i="5"/>
  <c r="F11" i="5"/>
  <c r="E11" i="5"/>
  <c r="M10" i="5"/>
  <c r="L10" i="5"/>
  <c r="H10" i="5"/>
  <c r="M9" i="5"/>
  <c r="L9" i="5"/>
  <c r="H9" i="5"/>
  <c r="M8" i="5"/>
  <c r="L8" i="5"/>
  <c r="H8" i="5"/>
  <c r="M7" i="5"/>
  <c r="L7" i="5"/>
  <c r="H7" i="5"/>
  <c r="B17" i="9"/>
  <c r="E17" i="9" s="1"/>
  <c r="B12" i="9"/>
  <c r="E12" i="9" s="1"/>
  <c r="B7" i="9"/>
  <c r="E7" i="9" s="1"/>
  <c r="B3" i="9"/>
  <c r="E3" i="9" s="1"/>
  <c r="I44" i="8"/>
  <c r="I43" i="8"/>
  <c r="F41" i="8"/>
  <c r="E41" i="8"/>
  <c r="I40" i="8"/>
  <c r="G40" i="8"/>
  <c r="I39" i="8"/>
  <c r="G39" i="8"/>
  <c r="I38" i="8"/>
  <c r="G38" i="8"/>
  <c r="H29" i="8"/>
  <c r="I29" i="8" s="1"/>
  <c r="F30" i="8"/>
  <c r="E30" i="8"/>
  <c r="G29" i="8"/>
  <c r="I28" i="8"/>
  <c r="G28" i="8"/>
  <c r="I27" i="8"/>
  <c r="G27" i="8"/>
  <c r="I26" i="8"/>
  <c r="G26" i="8"/>
  <c r="F18" i="8"/>
  <c r="E18" i="8"/>
  <c r="I17" i="8"/>
  <c r="G17" i="8"/>
  <c r="I16" i="8"/>
  <c r="G16" i="8"/>
  <c r="I15" i="8"/>
  <c r="G15" i="8"/>
  <c r="I6" i="8"/>
  <c r="I7" i="8"/>
  <c r="I8" i="8"/>
  <c r="I5" i="8"/>
  <c r="F9" i="8"/>
  <c r="I20" i="8" s="1"/>
  <c r="G8" i="8"/>
  <c r="G6" i="8"/>
  <c r="G5" i="8"/>
  <c r="O30" i="3" l="1"/>
  <c r="G41" i="10"/>
  <c r="I30" i="10"/>
  <c r="I18" i="10"/>
  <c r="I10" i="10"/>
  <c r="I9" i="10"/>
  <c r="I42" i="10" s="1"/>
  <c r="I44" i="10"/>
  <c r="I20" i="10"/>
  <c r="I21" i="10" s="1"/>
  <c r="I32" i="10"/>
  <c r="I33" i="10" s="1"/>
  <c r="H11" i="5"/>
  <c r="M17" i="5"/>
  <c r="M18" i="5" s="1"/>
  <c r="M11" i="5"/>
  <c r="N26" i="5"/>
  <c r="N29" i="5"/>
  <c r="H27" i="5"/>
  <c r="F28" i="5"/>
  <c r="E28" i="5"/>
  <c r="N27" i="5"/>
  <c r="D30" i="5"/>
  <c r="E30" i="5" s="1"/>
  <c r="N28" i="5"/>
  <c r="N25" i="5"/>
  <c r="L30" i="5"/>
  <c r="M30" i="5" s="1"/>
  <c r="M25" i="5"/>
  <c r="F26" i="5"/>
  <c r="L11" i="5"/>
  <c r="J18" i="5"/>
  <c r="F25" i="5"/>
  <c r="F29" i="5"/>
  <c r="L17" i="5"/>
  <c r="L18" i="5" s="1"/>
  <c r="E18" i="9"/>
  <c r="E13" i="9"/>
  <c r="E8" i="9"/>
  <c r="B8" i="9"/>
  <c r="B13" i="9"/>
  <c r="B18" i="9"/>
  <c r="I32" i="8"/>
  <c r="I33" i="8" s="1"/>
  <c r="I10" i="8"/>
  <c r="G41" i="8"/>
  <c r="I41" i="8"/>
  <c r="I9" i="8"/>
  <c r="G18" i="8"/>
  <c r="I18" i="8"/>
  <c r="I21" i="8" s="1"/>
  <c r="I30" i="8"/>
  <c r="G30" i="8"/>
  <c r="E9" i="8"/>
  <c r="G7" i="8"/>
  <c r="I11" i="10" l="1"/>
  <c r="I19" i="10"/>
  <c r="I31" i="10"/>
  <c r="M29" i="5"/>
  <c r="M28" i="5"/>
  <c r="E27" i="5"/>
  <c r="E25" i="5"/>
  <c r="E29" i="5"/>
  <c r="H28" i="5"/>
  <c r="H25" i="5"/>
  <c r="F30" i="5"/>
  <c r="G26" i="5" s="1"/>
  <c r="P29" i="5"/>
  <c r="M27" i="5"/>
  <c r="M26" i="5"/>
  <c r="N30" i="5"/>
  <c r="P25" i="5"/>
  <c r="P28" i="5"/>
  <c r="E26" i="5"/>
  <c r="H29" i="5"/>
  <c r="H26" i="5"/>
  <c r="P27" i="5"/>
  <c r="P26" i="5"/>
  <c r="I19" i="8"/>
  <c r="I31" i="8"/>
  <c r="I42" i="8"/>
  <c r="I11" i="8"/>
  <c r="G9" i="8"/>
  <c r="O28" i="5" l="1"/>
  <c r="O26" i="5"/>
  <c r="O27" i="5"/>
  <c r="O29" i="5"/>
  <c r="H30" i="5"/>
  <c r="G30" i="5"/>
  <c r="G27" i="5"/>
  <c r="G25" i="5"/>
  <c r="G28" i="5"/>
  <c r="P30" i="5"/>
  <c r="O30" i="5"/>
  <c r="O25" i="5"/>
  <c r="G29" i="5"/>
  <c r="C13" i="1"/>
  <c r="E17" i="7"/>
  <c r="E12" i="7"/>
  <c r="E7" i="7"/>
  <c r="K29" i="3"/>
  <c r="L29" i="3" s="1"/>
  <c r="K28" i="3"/>
  <c r="K27" i="3"/>
  <c r="L27" i="3" s="1"/>
  <c r="K26" i="3"/>
  <c r="L26" i="3" s="1"/>
  <c r="K25" i="3"/>
  <c r="B17" i="7"/>
  <c r="B12" i="7"/>
  <c r="B7" i="7"/>
  <c r="C29" i="3"/>
  <c r="D29" i="3" s="1"/>
  <c r="F29" i="3" s="1"/>
  <c r="C28" i="3"/>
  <c r="D28" i="3" s="1"/>
  <c r="F28" i="3" s="1"/>
  <c r="C27" i="3"/>
  <c r="D27" i="3" s="1"/>
  <c r="F27" i="3" s="1"/>
  <c r="C26" i="3"/>
  <c r="D26" i="3" s="1"/>
  <c r="F26" i="3" s="1"/>
  <c r="C25" i="3"/>
  <c r="D25" i="3" s="1"/>
  <c r="F25" i="3" s="1"/>
  <c r="C8" i="1"/>
  <c r="C9" i="1" s="1"/>
  <c r="N29" i="3" l="1"/>
  <c r="L30" i="3"/>
  <c r="L28" i="3"/>
  <c r="C37" i="4"/>
  <c r="F31" i="4"/>
  <c r="F30" i="4"/>
  <c r="F28" i="4"/>
  <c r="F26" i="4"/>
  <c r="F25" i="4"/>
  <c r="G19" i="4"/>
  <c r="G21" i="4" s="1"/>
  <c r="G28" i="4" s="1"/>
  <c r="C18" i="4"/>
  <c r="C21" i="4" s="1"/>
  <c r="F17" i="4"/>
  <c r="C14" i="4"/>
  <c r="C9" i="4"/>
  <c r="M29" i="3" l="1"/>
  <c r="M25" i="3"/>
  <c r="M26" i="3"/>
  <c r="M27" i="3"/>
  <c r="M28" i="3"/>
  <c r="P26" i="3"/>
  <c r="P25" i="3"/>
  <c r="N28" i="3"/>
  <c r="N30" i="3" s="1"/>
  <c r="P27" i="3"/>
  <c r="P29" i="3"/>
  <c r="G32" i="4"/>
  <c r="G31" i="4"/>
  <c r="G30" i="4"/>
  <c r="C28" i="4"/>
  <c r="J11" i="3"/>
  <c r="K11" i="3"/>
  <c r="I11" i="3"/>
  <c r="F11" i="3"/>
  <c r="G11" i="3"/>
  <c r="E11" i="3"/>
  <c r="G19" i="1"/>
  <c r="G21" i="1" s="1"/>
  <c r="G28" i="1" s="1"/>
  <c r="M30" i="3" l="1"/>
  <c r="E4" i="9"/>
  <c r="E4" i="7"/>
  <c r="P30" i="3"/>
  <c r="P28" i="3"/>
  <c r="C30" i="4"/>
  <c r="C32" i="4"/>
  <c r="C36" i="4" s="1"/>
  <c r="C38" i="4" s="1"/>
  <c r="C39" i="4" s="1"/>
  <c r="C31" i="4"/>
  <c r="G32" i="1"/>
  <c r="H26" i="3"/>
  <c r="H27" i="3"/>
  <c r="H28" i="3"/>
  <c r="H29" i="3"/>
  <c r="H25" i="3"/>
  <c r="F30" i="3"/>
  <c r="D30" i="3"/>
  <c r="E19" i="9" l="1"/>
  <c r="E20" i="9" s="1"/>
  <c r="E5" i="9"/>
  <c r="E9" i="9"/>
  <c r="E10" i="9" s="1"/>
  <c r="E14" i="9"/>
  <c r="E15" i="9" s="1"/>
  <c r="B4" i="9"/>
  <c r="E9" i="7"/>
  <c r="E19" i="7"/>
  <c r="E14" i="7"/>
  <c r="B4" i="7"/>
  <c r="E26" i="3"/>
  <c r="G29" i="3"/>
  <c r="H30" i="3"/>
  <c r="G30" i="3"/>
  <c r="G25" i="3"/>
  <c r="E25" i="3"/>
  <c r="G28" i="3"/>
  <c r="E30" i="3"/>
  <c r="G27" i="3"/>
  <c r="E29" i="3"/>
  <c r="G26" i="3"/>
  <c r="E28" i="3"/>
  <c r="E27" i="3"/>
  <c r="F18" i="3"/>
  <c r="G18" i="3"/>
  <c r="E18" i="3"/>
  <c r="K17" i="3"/>
  <c r="M17" i="3" s="1"/>
  <c r="M18" i="3" s="1"/>
  <c r="I17" i="3"/>
  <c r="I18" i="3" s="1"/>
  <c r="H17" i="3"/>
  <c r="H18" i="3" s="1"/>
  <c r="M8" i="3"/>
  <c r="M9" i="3"/>
  <c r="M10" i="3"/>
  <c r="M11" i="3"/>
  <c r="M7" i="3"/>
  <c r="L11" i="3"/>
  <c r="H11" i="3"/>
  <c r="L10" i="3"/>
  <c r="H10" i="3"/>
  <c r="L9" i="3"/>
  <c r="H9" i="3"/>
  <c r="L8" i="3"/>
  <c r="H8" i="3"/>
  <c r="L7" i="3"/>
  <c r="H7" i="3"/>
  <c r="B5" i="9" l="1"/>
  <c r="B9" i="9"/>
  <c r="B10" i="9" s="1"/>
  <c r="B14" i="9"/>
  <c r="B15" i="9" s="1"/>
  <c r="B19" i="9"/>
  <c r="B20" i="9" s="1"/>
  <c r="B9" i="7"/>
  <c r="B14" i="7"/>
  <c r="B19" i="7"/>
  <c r="K18" i="3"/>
  <c r="J17" i="3"/>
  <c r="J18" i="3" s="1"/>
  <c r="L17" i="3"/>
  <c r="L18" i="3" s="1"/>
  <c r="F31" i="1" l="1"/>
  <c r="F30" i="1"/>
  <c r="F28" i="1"/>
  <c r="F26" i="1"/>
  <c r="F25" i="1"/>
  <c r="F17" i="1"/>
  <c r="G31" i="1" l="1"/>
  <c r="C6" i="1"/>
  <c r="C18" i="1"/>
  <c r="C21" i="1" s="1"/>
  <c r="C14" i="1"/>
  <c r="C28" i="1" l="1"/>
  <c r="G30" i="1"/>
  <c r="C32" i="1" l="1"/>
  <c r="C36" i="1" s="1"/>
  <c r="C38" i="1" s="1"/>
  <c r="C39" i="1" s="1"/>
  <c r="B3" i="7"/>
  <c r="C30" i="1"/>
  <c r="C31" i="1"/>
  <c r="B8" i="7" l="1"/>
  <c r="B10" i="7" s="1"/>
  <c r="B13" i="7"/>
  <c r="B15" i="7" s="1"/>
  <c r="E3" i="7"/>
  <c r="B18" i="7"/>
  <c r="B20" i="7" s="1"/>
  <c r="B5" i="7"/>
  <c r="E5" i="7" l="1"/>
  <c r="E13" i="7"/>
  <c r="E15" i="7" s="1"/>
  <c r="E8" i="7"/>
  <c r="E10" i="7" s="1"/>
  <c r="E18" i="7"/>
  <c r="E20" i="7" s="1"/>
</calcChain>
</file>

<file path=xl/sharedStrings.xml><?xml version="1.0" encoding="utf-8"?>
<sst xmlns="http://schemas.openxmlformats.org/spreadsheetml/2006/main" count="460" uniqueCount="137">
  <si>
    <t>Ambulance</t>
  </si>
  <si>
    <t>FTEs</t>
  </si>
  <si>
    <t>Cost/FTE</t>
  </si>
  <si>
    <t>Personnel cost</t>
  </si>
  <si>
    <t>Equipment</t>
  </si>
  <si>
    <t>Cost</t>
  </si>
  <si>
    <t>Annual Cost</t>
  </si>
  <si>
    <t>Maintenance</t>
  </si>
  <si>
    <t>Fuel</t>
  </si>
  <si>
    <t>Supplies</t>
  </si>
  <si>
    <t>Other</t>
  </si>
  <si>
    <t>Per Ambulance</t>
  </si>
  <si>
    <t>Useful Life/Years</t>
  </si>
  <si>
    <t>EMS Training</t>
  </si>
  <si>
    <t>Population</t>
  </si>
  <si>
    <t>EMS Calls/Yr</t>
  </si>
  <si>
    <t>UH/U</t>
  </si>
  <si>
    <t>EMS Transports/Yr</t>
  </si>
  <si>
    <t>Total Annual</t>
  </si>
  <si>
    <t>Cost/UH</t>
  </si>
  <si>
    <t>Cost/Response</t>
  </si>
  <si>
    <t>Cost/Transport</t>
  </si>
  <si>
    <t>Gross APC</t>
  </si>
  <si>
    <t>Cost per Transport</t>
  </si>
  <si>
    <t>Average Collection Rate</t>
  </si>
  <si>
    <t>Net APC - Check</t>
  </si>
  <si>
    <t>Agency Name:</t>
  </si>
  <si>
    <t>Annnual Ambulance Unit Hours</t>
  </si>
  <si>
    <t>Total population served</t>
  </si>
  <si>
    <t>Annual ambulance transports</t>
  </si>
  <si>
    <t>Number of FTEs required to be hired to staff the ambulance(s)</t>
  </si>
  <si>
    <t>All costs, pay, benefits, uniform, personal equipment, pension costs, etc.</t>
  </si>
  <si>
    <t>FTEs * Personnel cost</t>
  </si>
  <si>
    <t>Cost of the ambulance, delivered</t>
  </si>
  <si>
    <t>Cot, monitor, etc.</t>
  </si>
  <si>
    <t>Total costs</t>
  </si>
  <si>
    <r>
      <t xml:space="preserve">Total cost divided by annual </t>
    </r>
    <r>
      <rPr>
        <b/>
        <i/>
        <u/>
        <sz val="11"/>
        <color theme="1"/>
        <rFont val="Calibri"/>
        <family val="2"/>
      </rPr>
      <t>responses</t>
    </r>
  </si>
  <si>
    <r>
      <t xml:space="preserve">Total cost divided by annual </t>
    </r>
    <r>
      <rPr>
        <b/>
        <i/>
        <u/>
        <sz val="11"/>
        <color theme="1"/>
        <rFont val="Calibri"/>
        <family val="2"/>
      </rPr>
      <t>unit hours</t>
    </r>
  </si>
  <si>
    <t>Notes:</t>
  </si>
  <si>
    <t>(i.e. Engine)</t>
  </si>
  <si>
    <t>Fuel cost for running an EMS call</t>
  </si>
  <si>
    <t>Disposable supplies used for EMS calls</t>
  </si>
  <si>
    <t>Economic Analysis</t>
  </si>
  <si>
    <t>From Billing Analysis</t>
  </si>
  <si>
    <t>Amount needed to collect enough $ per transport to cover cost of EMS</t>
  </si>
  <si>
    <t>Month</t>
  </si>
  <si>
    <t>Claim Count</t>
  </si>
  <si>
    <t>Patient Count</t>
  </si>
  <si>
    <t>Charge per Transport</t>
  </si>
  <si>
    <t>Contractual Adjustments</t>
  </si>
  <si>
    <t>Net Charges</t>
  </si>
  <si>
    <t>Paid</t>
  </si>
  <si>
    <t>Collected per Transport</t>
  </si>
  <si>
    <t>ABCD1</t>
  </si>
  <si>
    <t>ABCD2</t>
  </si>
  <si>
    <t>ABCD3</t>
  </si>
  <si>
    <t>ABCD4</t>
  </si>
  <si>
    <t>Total</t>
  </si>
  <si>
    <t>Payer Name</t>
  </si>
  <si>
    <t>Billed Charges</t>
  </si>
  <si>
    <t>Collection Rate</t>
  </si>
  <si>
    <t>Commercial Payer Example</t>
  </si>
  <si>
    <t>Medicare Example</t>
  </si>
  <si>
    <t>M'Care</t>
  </si>
  <si>
    <t>Medicare</t>
  </si>
  <si>
    <t>Medicaid</t>
  </si>
  <si>
    <t>Facility</t>
  </si>
  <si>
    <t>Commercial Insurance</t>
  </si>
  <si>
    <t>Private Pay</t>
  </si>
  <si>
    <t>Billed</t>
  </si>
  <si>
    <t>Collected</t>
  </si>
  <si>
    <t>% of Collected</t>
  </si>
  <si>
    <t>Payer Collection Rate</t>
  </si>
  <si>
    <t>% of Billed</t>
  </si>
  <si>
    <t>Annual EMS responses in which an ambulance was dispatched</t>
  </si>
  <si>
    <t>Annual ambulance transports divided by annual unit hours</t>
  </si>
  <si>
    <t>Ambulance Cost</t>
  </si>
  <si>
    <t>Number of Ambulances</t>
  </si>
  <si>
    <t>Count of ambulances in the fleet</t>
  </si>
  <si>
    <t>Annual allocated or actual cost of maintenance</t>
  </si>
  <si>
    <t>Annual cost of fuel</t>
  </si>
  <si>
    <t>Annual cost of disposable supplies and drugs</t>
  </si>
  <si>
    <t xml:space="preserve">Total Ambulance on-duty hours/yr (i.e.: 1 Ambulance 24/7 is 24 * 365 = 8,760) </t>
  </si>
  <si>
    <t>Number of 1st Response Units</t>
  </si>
  <si>
    <r>
      <t xml:space="preserve">Total costs divided by annual </t>
    </r>
    <r>
      <rPr>
        <b/>
        <i/>
        <u/>
        <sz val="11"/>
        <color theme="1"/>
        <rFont val="Calibri"/>
        <family val="2"/>
      </rPr>
      <t>unit hours</t>
    </r>
  </si>
  <si>
    <r>
      <t xml:space="preserve">Total costs divided by annual </t>
    </r>
    <r>
      <rPr>
        <b/>
        <i/>
        <u/>
        <sz val="11"/>
        <color theme="1"/>
        <rFont val="Calibri"/>
        <family val="2"/>
      </rPr>
      <t>responses</t>
    </r>
  </si>
  <si>
    <r>
      <t xml:space="preserve">Total costs divided by annual </t>
    </r>
    <r>
      <rPr>
        <b/>
        <i/>
        <u/>
        <sz val="11"/>
        <color theme="1"/>
        <rFont val="Calibri"/>
        <family val="2"/>
      </rPr>
      <t>transports</t>
    </r>
  </si>
  <si>
    <t>1st Response Units</t>
  </si>
  <si>
    <t>Number of FTEs required to be hired to staff the 1st Response Units</t>
  </si>
  <si>
    <t>EMT/Paramedic Diff</t>
  </si>
  <si>
    <t>Annual pay premiums for EMT or paramedic certification per employee</t>
  </si>
  <si>
    <t>Annual cost EMS related training and/or backfill</t>
  </si>
  <si>
    <t>Useful Life (in years)</t>
  </si>
  <si>
    <t>Average useful life for capital equipment</t>
  </si>
  <si>
    <t>Allocated cost per year for equipment</t>
  </si>
  <si>
    <t>Depreciaton expense</t>
  </si>
  <si>
    <t>Annual cost of each ambulance</t>
  </si>
  <si>
    <t>Cost for capital EMS equipment for the Engine (cardiac monitor, etc.)</t>
  </si>
  <si>
    <t>Annual Equipment Cost</t>
  </si>
  <si>
    <t>Anytown, USA</t>
  </si>
  <si>
    <t>= Auto-Calculated/Protected Fields</t>
  </si>
  <si>
    <t>= User Entered Fields</t>
  </si>
  <si>
    <t>Payer Mix</t>
  </si>
  <si>
    <t>Depreciation expense</t>
  </si>
  <si>
    <t>Revenue Analysis</t>
  </si>
  <si>
    <t>Total Annual Costs</t>
  </si>
  <si>
    <t>Total Annual Revenue</t>
  </si>
  <si>
    <t>Cost per Response</t>
  </si>
  <si>
    <t>Revenue per Response</t>
  </si>
  <si>
    <t>Revenue per Transport</t>
  </si>
  <si>
    <t>Cost per Unit Hour</t>
  </si>
  <si>
    <t>Revenue per Unit Hour</t>
  </si>
  <si>
    <t>Annual Ambulance Unit Hours</t>
  </si>
  <si>
    <t>Services</t>
  </si>
  <si>
    <t>Net Retained Earnings</t>
  </si>
  <si>
    <t>Responses</t>
  </si>
  <si>
    <t>Transports</t>
  </si>
  <si>
    <t>Unit Hours</t>
  </si>
  <si>
    <t>Reimbursement Increase</t>
  </si>
  <si>
    <t>$1,500 Average Charge</t>
  </si>
  <si>
    <t>Station</t>
  </si>
  <si>
    <t>Unit Type</t>
  </si>
  <si>
    <t>Staffed Unit Hours</t>
  </si>
  <si>
    <t>Total Runs</t>
  </si>
  <si>
    <t>Unit Hour Utilization</t>
  </si>
  <si>
    <t>ALS Ambulance</t>
  </si>
  <si>
    <t>BLS Ambulance</t>
  </si>
  <si>
    <t>Unit Hour Expense</t>
  </si>
  <si>
    <t>Annual Unit Expense</t>
  </si>
  <si>
    <t>Savings</t>
  </si>
  <si>
    <t>Response Time: 7 minutes @ 90%, 5 minutes @ average; All ALS</t>
  </si>
  <si>
    <t>Response Time: 9 minutes @ 90%, 7 minutes @ average; All ALS</t>
  </si>
  <si>
    <t>Response Time: 9 minutes @ 90%, 7 minutes @ average; Tiered Response</t>
  </si>
  <si>
    <t>Response Time: 7 minutes @ 90%, 5 minutes @ average; Tiered Response</t>
  </si>
  <si>
    <t>Retained Earnings</t>
  </si>
  <si>
    <t>Revenue @ $500/Transport</t>
  </si>
  <si>
    <r>
      <rPr>
        <b/>
        <sz val="11"/>
        <color rgb="FFFF0000"/>
        <rFont val="Calibri"/>
        <family val="2"/>
      </rPr>
      <t>Reimbursement</t>
    </r>
    <r>
      <rPr>
        <b/>
        <sz val="11"/>
        <color theme="1"/>
        <rFont val="Calibri"/>
        <family val="2"/>
      </rPr>
      <t xml:space="preserve">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</si>
</sst>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0"/>
    <numFmt numFmtId="166" formatCode="0.0%"/>
    <numFmt numFmtId="167" formatCode="&quot;$&quot;#,##0.00"/>
    <numFmt numFmtId="168" formatCode="&quot;$&quot;#,##0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5" borderId="0" xfId="0" applyFont="1" applyFill="1" applyProtection="1">
      <protection locked="0"/>
    </xf>
    <xf numFmtId="3" fontId="0" fillId="3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3" borderId="0" xfId="1" applyNumberFormat="1" applyFont="1" applyFill="1" applyProtection="1">
      <protection locked="0"/>
    </xf>
    <xf numFmtId="164" fontId="0" fillId="0" borderId="0" xfId="1" applyNumberFormat="1" applyFont="1" applyProtection="1">
      <protection locked="0"/>
    </xf>
    <xf numFmtId="164" fontId="0" fillId="3" borderId="0" xfId="0" applyNumberFormat="1" applyFill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indent="2"/>
    </xf>
    <xf numFmtId="0" fontId="7" fillId="0" borderId="0" xfId="0" applyFont="1" applyFill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0" fillId="4" borderId="0" xfId="0" applyNumberFormat="1" applyFill="1" applyProtection="1"/>
    <xf numFmtId="164" fontId="0" fillId="4" borderId="0" xfId="1" applyNumberFormat="1" applyFont="1" applyFill="1" applyProtection="1"/>
    <xf numFmtId="164" fontId="2" fillId="4" borderId="0" xfId="0" applyNumberFormat="1" applyFont="1" applyFill="1" applyProtection="1"/>
    <xf numFmtId="44" fontId="2" fillId="4" borderId="0" xfId="1" applyFont="1" applyFill="1" applyProtection="1"/>
    <xf numFmtId="44" fontId="0" fillId="4" borderId="0" xfId="0" applyNumberFormat="1" applyFill="1" applyProtection="1"/>
    <xf numFmtId="9" fontId="0" fillId="4" borderId="0" xfId="2" applyFont="1" applyFill="1" applyProtection="1"/>
    <xf numFmtId="44" fontId="0" fillId="4" borderId="0" xfId="1" applyFont="1" applyFill="1" applyProtection="1"/>
    <xf numFmtId="0" fontId="0" fillId="0" borderId="0" xfId="0" applyAlignment="1" applyProtection="1">
      <alignment horizontal="left" indent="1"/>
    </xf>
    <xf numFmtId="0" fontId="7" fillId="0" borderId="0" xfId="0" applyFont="1" applyAlignment="1" applyProtection="1">
      <alignment horizontal="left" indent="1"/>
    </xf>
    <xf numFmtId="0" fontId="7" fillId="0" borderId="0" xfId="0" applyFont="1" applyFill="1" applyProtection="1"/>
    <xf numFmtId="0" fontId="7" fillId="0" borderId="0" xfId="0" applyFont="1" applyProtection="1"/>
    <xf numFmtId="0" fontId="4" fillId="0" borderId="0" xfId="0" applyFont="1" applyProtection="1"/>
    <xf numFmtId="0" fontId="0" fillId="3" borderId="2" xfId="0" applyFill="1" applyBorder="1" applyProtection="1"/>
    <xf numFmtId="0" fontId="0" fillId="0" borderId="0" xfId="0" quotePrefix="1" applyProtection="1"/>
    <xf numFmtId="0" fontId="0" fillId="4" borderId="2" xfId="0" applyFill="1" applyBorder="1" applyProtection="1"/>
    <xf numFmtId="17" fontId="0" fillId="3" borderId="0" xfId="0" applyNumberForma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0" xfId="0" applyFill="1" applyProtection="1"/>
    <xf numFmtId="0" fontId="2" fillId="2" borderId="0" xfId="0" applyFont="1" applyFill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44" fontId="0" fillId="4" borderId="0" xfId="1" applyNumberFormat="1" applyFont="1" applyFill="1" applyProtection="1"/>
    <xf numFmtId="166" fontId="0" fillId="4" borderId="0" xfId="2" applyNumberFormat="1" applyFont="1" applyFill="1" applyAlignment="1" applyProtection="1">
      <alignment horizontal="center"/>
    </xf>
    <xf numFmtId="44" fontId="0" fillId="4" borderId="1" xfId="1" applyNumberFormat="1" applyFont="1" applyFill="1" applyBorder="1" applyProtection="1"/>
    <xf numFmtId="44" fontId="0" fillId="4" borderId="1" xfId="1" applyFont="1" applyFill="1" applyBorder="1" applyProtection="1"/>
    <xf numFmtId="166" fontId="0" fillId="4" borderId="1" xfId="2" applyNumberFormat="1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164" fontId="2" fillId="4" borderId="0" xfId="1" applyNumberFormat="1" applyFont="1" applyFill="1" applyAlignment="1" applyProtection="1">
      <alignment horizontal="center"/>
    </xf>
    <xf numFmtId="44" fontId="2" fillId="4" borderId="0" xfId="1" applyNumberFormat="1" applyFont="1" applyFill="1" applyProtection="1"/>
    <xf numFmtId="164" fontId="2" fillId="4" borderId="0" xfId="1" applyNumberFormat="1" applyFont="1" applyFill="1" applyProtection="1"/>
    <xf numFmtId="44" fontId="2" fillId="4" borderId="0" xfId="1" applyFont="1" applyFill="1" applyAlignment="1" applyProtection="1">
      <alignment horizontal="center"/>
    </xf>
    <xf numFmtId="166" fontId="2" fillId="4" borderId="0" xfId="2" applyNumberFormat="1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5" fillId="0" borderId="0" xfId="0" applyFont="1" applyBorder="1" applyProtection="1"/>
    <xf numFmtId="166" fontId="0" fillId="4" borderId="0" xfId="2" applyNumberFormat="1" applyFont="1" applyFill="1" applyAlignment="1" applyProtection="1">
      <alignment horizontal="center" wrapText="1"/>
    </xf>
    <xf numFmtId="166" fontId="0" fillId="4" borderId="1" xfId="2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indent="2"/>
    </xf>
    <xf numFmtId="166" fontId="2" fillId="4" borderId="0" xfId="2" applyNumberFormat="1" applyFont="1" applyFill="1" applyAlignment="1" applyProtection="1">
      <alignment horizontal="center" wrapText="1"/>
    </xf>
    <xf numFmtId="0" fontId="5" fillId="0" borderId="0" xfId="0" applyFont="1" applyFill="1" applyBorder="1" applyProtection="1"/>
    <xf numFmtId="0" fontId="0" fillId="3" borderId="0" xfId="0" applyFill="1" applyProtection="1"/>
    <xf numFmtId="0" fontId="4" fillId="5" borderId="0" xfId="0" applyFont="1" applyFill="1" applyProtection="1"/>
    <xf numFmtId="0" fontId="0" fillId="5" borderId="0" xfId="0" applyFill="1" applyProtection="1"/>
    <xf numFmtId="0" fontId="0" fillId="3" borderId="0" xfId="0" applyFill="1" applyAlignment="1" applyProtection="1">
      <alignment horizontal="center"/>
    </xf>
    <xf numFmtId="164" fontId="0" fillId="3" borderId="0" xfId="1" applyNumberFormat="1" applyFont="1" applyFill="1" applyProtection="1"/>
    <xf numFmtId="164" fontId="0" fillId="3" borderId="0" xfId="0" applyNumberFormat="1" applyFill="1" applyProtection="1"/>
    <xf numFmtId="1" fontId="0" fillId="3" borderId="0" xfId="0" applyNumberFormat="1" applyFill="1" applyAlignment="1" applyProtection="1">
      <alignment horizontal="center"/>
    </xf>
    <xf numFmtId="164" fontId="0" fillId="0" borderId="0" xfId="0" applyNumberFormat="1" applyProtection="1"/>
    <xf numFmtId="17" fontId="0" fillId="3" borderId="0" xfId="0" applyNumberFormat="1" applyFill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164" fontId="0" fillId="3" borderId="1" xfId="1" applyNumberFormat="1" applyFont="1" applyFill="1" applyBorder="1" applyProtection="1"/>
    <xf numFmtId="44" fontId="0" fillId="3" borderId="1" xfId="1" applyFont="1" applyFill="1" applyBorder="1" applyProtection="1"/>
    <xf numFmtId="0" fontId="9" fillId="0" borderId="0" xfId="0" applyFont="1" applyProtection="1"/>
    <xf numFmtId="0" fontId="2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44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37" fontId="0" fillId="0" borderId="0" xfId="0" applyNumberFormat="1" applyAlignment="1">
      <alignment horizontal="center"/>
    </xf>
    <xf numFmtId="167" fontId="0" fillId="4" borderId="0" xfId="1" applyNumberFormat="1" applyFont="1" applyFill="1" applyAlignment="1" applyProtection="1">
      <alignment horizontal="center"/>
    </xf>
    <xf numFmtId="167" fontId="0" fillId="0" borderId="0" xfId="1" applyNumberFormat="1" applyFon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67" fontId="2" fillId="4" borderId="0" xfId="1" applyNumberFormat="1" applyFont="1" applyFill="1" applyAlignment="1" applyProtection="1">
      <alignment horizontal="center"/>
    </xf>
    <xf numFmtId="167" fontId="0" fillId="4" borderId="0" xfId="0" applyNumberForma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>
      <alignment horizontal="center"/>
    </xf>
    <xf numFmtId="168" fontId="0" fillId="3" borderId="0" xfId="1" applyNumberFormat="1" applyFont="1" applyFill="1" applyAlignment="1" applyProtection="1">
      <alignment horizontal="center"/>
    </xf>
    <xf numFmtId="168" fontId="0" fillId="4" borderId="0" xfId="1" applyNumberFormat="1" applyFont="1" applyFill="1" applyAlignment="1" applyProtection="1">
      <alignment horizontal="center"/>
    </xf>
    <xf numFmtId="168" fontId="2" fillId="4" borderId="0" xfId="0" applyNumberFormat="1" applyFont="1" applyFill="1" applyAlignment="1" applyProtection="1">
      <alignment horizontal="center"/>
    </xf>
    <xf numFmtId="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5" fontId="0" fillId="3" borderId="0" xfId="1" applyNumberFormat="1" applyFont="1" applyFill="1" applyAlignment="1" applyProtection="1">
      <alignment horizontal="center"/>
    </xf>
    <xf numFmtId="5" fontId="0" fillId="3" borderId="1" xfId="1" applyNumberFormat="1" applyFont="1" applyFill="1" applyBorder="1" applyAlignment="1" applyProtection="1">
      <alignment horizontal="center"/>
    </xf>
    <xf numFmtId="5" fontId="2" fillId="4" borderId="0" xfId="1" applyNumberFormat="1" applyFont="1" applyFill="1" applyAlignment="1" applyProtection="1">
      <alignment horizontal="center"/>
    </xf>
    <xf numFmtId="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0" fontId="9" fillId="0" borderId="0" xfId="0" applyFont="1"/>
    <xf numFmtId="5" fontId="10" fillId="0" borderId="0" xfId="0" applyNumberFormat="1" applyFont="1" applyFill="1" applyAlignment="1">
      <alignment horizontal="center"/>
    </xf>
    <xf numFmtId="7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/>
    <xf numFmtId="0" fontId="0" fillId="2" borderId="0" xfId="0" applyFill="1"/>
    <xf numFmtId="165" fontId="2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6" fontId="2" fillId="0" borderId="0" xfId="0" applyNumberFormat="1" applyFont="1" applyAlignment="1">
      <alignment horizontal="center"/>
    </xf>
    <xf numFmtId="5" fontId="0" fillId="0" borderId="0" xfId="0" applyNumberFormat="1" applyAlignment="1" applyProtection="1">
      <alignment horizontal="center"/>
    </xf>
    <xf numFmtId="5" fontId="10" fillId="0" borderId="0" xfId="0" applyNumberFormat="1" applyFont="1" applyAlignment="1" applyProtection="1">
      <alignment horizontal="center"/>
    </xf>
    <xf numFmtId="44" fontId="0" fillId="0" borderId="0" xfId="0" applyNumberFormat="1" applyProtection="1"/>
    <xf numFmtId="37" fontId="0" fillId="0" borderId="0" xfId="0" applyNumberFormat="1" applyAlignment="1" applyProtection="1">
      <alignment horizontal="center"/>
    </xf>
    <xf numFmtId="7" fontId="0" fillId="0" borderId="0" xfId="0" applyNumberFormat="1" applyAlignment="1" applyProtection="1">
      <alignment horizontal="center"/>
    </xf>
    <xf numFmtId="7" fontId="10" fillId="0" borderId="0" xfId="0" applyNumberFormat="1" applyFont="1" applyAlignment="1" applyProtection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5" fontId="0" fillId="3" borderId="0" xfId="1" applyNumberFormat="1" applyFont="1" applyFill="1" applyAlignment="1" applyProtection="1">
      <alignment horizontal="center"/>
      <protection locked="0"/>
    </xf>
    <xf numFmtId="5" fontId="0" fillId="3" borderId="1" xfId="1" applyNumberFormat="1" applyFont="1" applyFill="1" applyBorder="1" applyAlignment="1" applyProtection="1">
      <alignment horizontal="center"/>
      <protection locked="0"/>
    </xf>
    <xf numFmtId="3" fontId="0" fillId="3" borderId="0" xfId="0" applyNumberFormat="1" applyFill="1" applyAlignment="1" applyProtection="1">
      <alignment horizont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67" fontId="2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center"/>
    </xf>
    <xf numFmtId="3" fontId="8" fillId="4" borderId="0" xfId="0" applyNumberFormat="1" applyFont="1" applyFill="1" applyAlignment="1" applyProtection="1">
      <alignment horizontal="center"/>
    </xf>
    <xf numFmtId="168" fontId="0" fillId="4" borderId="0" xfId="0" applyNumberFormat="1" applyFill="1" applyAlignment="1" applyProtection="1">
      <alignment horizontal="center"/>
    </xf>
    <xf numFmtId="6" fontId="0" fillId="4" borderId="0" xfId="0" applyNumberFormat="1" applyFill="1" applyAlignment="1" applyProtection="1">
      <alignment horizontal="center"/>
    </xf>
    <xf numFmtId="6" fontId="2" fillId="4" borderId="0" xfId="0" applyNumberFormat="1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workbookViewId="0">
      <selection activeCell="C5" sqref="C5"/>
    </sheetView>
  </sheetViews>
  <sheetFormatPr defaultColWidth="8.86328125" defaultRowHeight="14.25" x14ac:dyDescent="0.45"/>
  <cols>
    <col min="1" max="1" width="14.19921875" style="15" customWidth="1"/>
    <col min="2" max="2" width="23.1328125" style="15" customWidth="1"/>
    <col min="3" max="3" width="12.1328125" style="15" bestFit="1" customWidth="1"/>
    <col min="4" max="4" width="66.796875" style="15" customWidth="1"/>
    <col min="5" max="5" width="2.796875" style="15" customWidth="1"/>
    <col min="6" max="6" width="27.33203125" style="15" customWidth="1"/>
    <col min="7" max="7" width="11.1328125" style="15" bestFit="1" customWidth="1"/>
    <col min="8" max="8" width="8.86328125" style="15"/>
    <col min="9" max="9" width="9.53125" style="15" bestFit="1" customWidth="1"/>
    <col min="10" max="16384" width="8.86328125" style="15"/>
  </cols>
  <sheetData>
    <row r="1" spans="1:8" ht="14.65" thickBot="1" x14ac:dyDescent="0.5">
      <c r="A1" s="16" t="s">
        <v>26</v>
      </c>
      <c r="B1" s="63" t="s">
        <v>99</v>
      </c>
      <c r="C1" s="34"/>
      <c r="D1" s="35" t="s">
        <v>101</v>
      </c>
    </row>
    <row r="2" spans="1:8" ht="14.65" thickBot="1" x14ac:dyDescent="0.5">
      <c r="A2" s="16"/>
      <c r="B2" s="40"/>
      <c r="C2" s="36"/>
      <c r="D2" s="35" t="s">
        <v>100</v>
      </c>
    </row>
    <row r="3" spans="1:8" x14ac:dyDescent="0.45">
      <c r="A3" s="16"/>
      <c r="B3" s="40"/>
    </row>
    <row r="4" spans="1:8" x14ac:dyDescent="0.45">
      <c r="D4" s="33" t="s">
        <v>38</v>
      </c>
      <c r="E4" s="64"/>
    </row>
    <row r="5" spans="1:8" x14ac:dyDescent="0.45">
      <c r="B5" s="14" t="s">
        <v>14</v>
      </c>
      <c r="C5" s="88">
        <v>40000</v>
      </c>
      <c r="D5" s="15" t="s">
        <v>28</v>
      </c>
      <c r="E5" s="65"/>
    </row>
    <row r="6" spans="1:8" x14ac:dyDescent="0.45">
      <c r="B6" s="14" t="s">
        <v>112</v>
      </c>
      <c r="C6" s="88">
        <f>24*365</f>
        <v>8760</v>
      </c>
      <c r="D6" s="15" t="s">
        <v>82</v>
      </c>
      <c r="E6" s="65"/>
    </row>
    <row r="7" spans="1:8" x14ac:dyDescent="0.45">
      <c r="B7" s="14" t="s">
        <v>15</v>
      </c>
      <c r="C7" s="88">
        <v>2000</v>
      </c>
      <c r="D7" s="15" t="s">
        <v>74</v>
      </c>
      <c r="E7" s="65"/>
    </row>
    <row r="8" spans="1:8" x14ac:dyDescent="0.45">
      <c r="B8" s="14" t="s">
        <v>17</v>
      </c>
      <c r="C8" s="88">
        <f>+C7*0.7005</f>
        <v>1401</v>
      </c>
      <c r="D8" s="15" t="s">
        <v>29</v>
      </c>
      <c r="E8" s="65"/>
    </row>
    <row r="9" spans="1:8" x14ac:dyDescent="0.45">
      <c r="B9" s="14" t="s">
        <v>16</v>
      </c>
      <c r="C9" s="89">
        <f>+C8/C6</f>
        <v>0.15993150684931506</v>
      </c>
      <c r="D9" s="15" t="s">
        <v>75</v>
      </c>
      <c r="E9" s="65"/>
    </row>
    <row r="10" spans="1:8" x14ac:dyDescent="0.45">
      <c r="E10" s="65"/>
    </row>
    <row r="11" spans="1:8" x14ac:dyDescent="0.45">
      <c r="B11" s="16" t="s">
        <v>11</v>
      </c>
      <c r="E11" s="65"/>
      <c r="F11" s="16" t="s">
        <v>87</v>
      </c>
      <c r="G11" s="15" t="s">
        <v>39</v>
      </c>
      <c r="H11" s="33" t="s">
        <v>38</v>
      </c>
    </row>
    <row r="12" spans="1:8" x14ac:dyDescent="0.45">
      <c r="B12" s="17" t="s">
        <v>1</v>
      </c>
      <c r="C12" s="66">
        <v>7</v>
      </c>
      <c r="D12" s="15" t="s">
        <v>30</v>
      </c>
      <c r="E12" s="65"/>
      <c r="F12" s="17" t="s">
        <v>1</v>
      </c>
      <c r="G12" s="66">
        <v>15</v>
      </c>
      <c r="H12" s="15" t="s">
        <v>88</v>
      </c>
    </row>
    <row r="13" spans="1:8" x14ac:dyDescent="0.45">
      <c r="B13" s="17" t="s">
        <v>2</v>
      </c>
      <c r="C13" s="90">
        <f>80000*1.25</f>
        <v>100000</v>
      </c>
      <c r="D13" s="15" t="s">
        <v>31</v>
      </c>
      <c r="E13" s="65"/>
      <c r="F13" s="17" t="s">
        <v>89</v>
      </c>
      <c r="G13" s="67">
        <v>6000</v>
      </c>
      <c r="H13" s="15" t="s">
        <v>90</v>
      </c>
    </row>
    <row r="14" spans="1:8" x14ac:dyDescent="0.45">
      <c r="B14" s="18" t="s">
        <v>3</v>
      </c>
      <c r="C14" s="91">
        <f>+C12*C13</f>
        <v>700000</v>
      </c>
      <c r="D14" s="15" t="s">
        <v>32</v>
      </c>
      <c r="E14" s="65"/>
      <c r="F14" s="17" t="s">
        <v>13</v>
      </c>
      <c r="G14" s="67">
        <v>5000</v>
      </c>
      <c r="H14" s="15" t="s">
        <v>91</v>
      </c>
    </row>
    <row r="15" spans="1:8" x14ac:dyDescent="0.45">
      <c r="B15" s="17"/>
      <c r="C15" s="84"/>
      <c r="E15" s="65"/>
    </row>
    <row r="16" spans="1:8" x14ac:dyDescent="0.45">
      <c r="B16" s="17" t="s">
        <v>0</v>
      </c>
      <c r="C16" s="90">
        <v>250000</v>
      </c>
      <c r="D16" s="15" t="s">
        <v>33</v>
      </c>
      <c r="E16" s="65"/>
    </row>
    <row r="17" spans="2:9" x14ac:dyDescent="0.45">
      <c r="B17" s="17" t="s">
        <v>4</v>
      </c>
      <c r="C17" s="90">
        <v>65000</v>
      </c>
      <c r="D17" s="15" t="s">
        <v>34</v>
      </c>
      <c r="E17" s="65"/>
      <c r="F17" s="29" t="str">
        <f>+B17</f>
        <v>Equipment</v>
      </c>
      <c r="G17" s="68">
        <v>30000</v>
      </c>
      <c r="H17" s="15" t="s">
        <v>97</v>
      </c>
    </row>
    <row r="18" spans="2:9" x14ac:dyDescent="0.45">
      <c r="B18" s="17" t="s">
        <v>5</v>
      </c>
      <c r="C18" s="91">
        <f>+C16+C17</f>
        <v>315000</v>
      </c>
      <c r="D18" s="15" t="s">
        <v>35</v>
      </c>
      <c r="E18" s="65"/>
      <c r="F18" s="29" t="s">
        <v>92</v>
      </c>
      <c r="G18" s="69">
        <v>5</v>
      </c>
      <c r="H18" s="15" t="s">
        <v>93</v>
      </c>
    </row>
    <row r="19" spans="2:9" x14ac:dyDescent="0.45">
      <c r="B19" s="17" t="s">
        <v>12</v>
      </c>
      <c r="C19" s="66">
        <v>5</v>
      </c>
      <c r="D19" s="15" t="s">
        <v>103</v>
      </c>
      <c r="E19" s="65"/>
      <c r="F19" s="30" t="s">
        <v>6</v>
      </c>
      <c r="G19" s="23">
        <f>+G17/G18</f>
        <v>6000</v>
      </c>
      <c r="H19" s="15" t="s">
        <v>94</v>
      </c>
    </row>
    <row r="20" spans="2:9" x14ac:dyDescent="0.45">
      <c r="B20" s="17" t="s">
        <v>77</v>
      </c>
      <c r="C20" s="66">
        <v>1</v>
      </c>
      <c r="D20" s="15" t="s">
        <v>78</v>
      </c>
      <c r="E20" s="65"/>
      <c r="F20" s="29" t="s">
        <v>83</v>
      </c>
      <c r="G20" s="66">
        <v>1</v>
      </c>
    </row>
    <row r="21" spans="2:9" x14ac:dyDescent="0.45">
      <c r="B21" s="18" t="s">
        <v>76</v>
      </c>
      <c r="C21" s="91">
        <f>(C18/C19)*C20</f>
        <v>63000</v>
      </c>
      <c r="D21" s="15" t="s">
        <v>96</v>
      </c>
      <c r="E21" s="65"/>
      <c r="F21" s="30" t="s">
        <v>98</v>
      </c>
      <c r="G21" s="23">
        <f>+G19*G20</f>
        <v>6000</v>
      </c>
    </row>
    <row r="22" spans="2:9" x14ac:dyDescent="0.45">
      <c r="B22" s="19"/>
      <c r="C22" s="40"/>
      <c r="E22" s="65"/>
    </row>
    <row r="23" spans="2:9" x14ac:dyDescent="0.45">
      <c r="B23" s="20" t="s">
        <v>10</v>
      </c>
      <c r="E23" s="65"/>
    </row>
    <row r="24" spans="2:9" x14ac:dyDescent="0.45">
      <c r="B24" s="17" t="s">
        <v>7</v>
      </c>
      <c r="C24" s="90">
        <v>20000</v>
      </c>
      <c r="D24" s="15" t="s">
        <v>79</v>
      </c>
      <c r="E24" s="65"/>
    </row>
    <row r="25" spans="2:9" x14ac:dyDescent="0.45">
      <c r="B25" s="17" t="s">
        <v>8</v>
      </c>
      <c r="C25" s="90">
        <v>25000</v>
      </c>
      <c r="D25" s="15" t="s">
        <v>80</v>
      </c>
      <c r="E25" s="65"/>
      <c r="F25" s="29" t="str">
        <f>+B25</f>
        <v>Fuel</v>
      </c>
      <c r="G25" s="67">
        <v>5000</v>
      </c>
      <c r="H25" s="15" t="s">
        <v>40</v>
      </c>
    </row>
    <row r="26" spans="2:9" x14ac:dyDescent="0.45">
      <c r="B26" s="17" t="s">
        <v>9</v>
      </c>
      <c r="C26" s="90">
        <v>21750</v>
      </c>
      <c r="D26" s="15" t="s">
        <v>81</v>
      </c>
      <c r="E26" s="65"/>
      <c r="F26" s="29" t="str">
        <f>+B26</f>
        <v>Supplies</v>
      </c>
      <c r="G26" s="67">
        <v>10000</v>
      </c>
      <c r="H26" s="15" t="s">
        <v>41</v>
      </c>
    </row>
    <row r="27" spans="2:9" x14ac:dyDescent="0.45">
      <c r="E27" s="65"/>
    </row>
    <row r="28" spans="2:9" x14ac:dyDescent="0.45">
      <c r="B28" s="21" t="s">
        <v>18</v>
      </c>
      <c r="C28" s="92">
        <f>+C14+C21+C24+C25+C26</f>
        <v>829750</v>
      </c>
      <c r="E28" s="65"/>
      <c r="F28" s="31" t="str">
        <f>+B28</f>
        <v>Total Annual</v>
      </c>
      <c r="G28" s="24">
        <f>+G13+G14+G21+G25+G26</f>
        <v>32000</v>
      </c>
      <c r="I28" s="70"/>
    </row>
    <row r="29" spans="2:9" x14ac:dyDescent="0.45">
      <c r="C29" s="85"/>
      <c r="E29" s="65"/>
    </row>
    <row r="30" spans="2:9" x14ac:dyDescent="0.45">
      <c r="B30" s="15" t="s">
        <v>19</v>
      </c>
      <c r="C30" s="86">
        <f>+C28/C6</f>
        <v>94.720319634703202</v>
      </c>
      <c r="D30" s="15" t="s">
        <v>84</v>
      </c>
      <c r="E30" s="65"/>
      <c r="F30" s="32" t="str">
        <f>+B30</f>
        <v>Cost/UH</v>
      </c>
      <c r="G30" s="25">
        <f>+G28/C6</f>
        <v>3.6529680365296802</v>
      </c>
      <c r="H30" s="15" t="s">
        <v>37</v>
      </c>
    </row>
    <row r="31" spans="2:9" x14ac:dyDescent="0.45">
      <c r="B31" s="15" t="s">
        <v>20</v>
      </c>
      <c r="C31" s="86">
        <f>+C28/C7</f>
        <v>414.875</v>
      </c>
      <c r="D31" s="15" t="s">
        <v>85</v>
      </c>
      <c r="E31" s="65"/>
      <c r="F31" s="32" t="str">
        <f>+B31</f>
        <v>Cost/Response</v>
      </c>
      <c r="G31" s="25">
        <f>+G28/C7</f>
        <v>16</v>
      </c>
      <c r="H31" s="15" t="s">
        <v>36</v>
      </c>
    </row>
    <row r="32" spans="2:9" x14ac:dyDescent="0.45">
      <c r="B32" s="15" t="s">
        <v>21</v>
      </c>
      <c r="C32" s="86">
        <f>+C28/C8</f>
        <v>592.2555317630264</v>
      </c>
      <c r="D32" s="15" t="s">
        <v>86</v>
      </c>
      <c r="E32" s="65"/>
      <c r="F32" s="32" t="s">
        <v>21</v>
      </c>
      <c r="G32" s="25">
        <f>+G28/C8</f>
        <v>22.840827980014275</v>
      </c>
    </row>
    <row r="33" spans="2:5" x14ac:dyDescent="0.45">
      <c r="E33" s="65"/>
    </row>
    <row r="34" spans="2:5" x14ac:dyDescent="0.45">
      <c r="E34" s="65"/>
    </row>
    <row r="35" spans="2:5" x14ac:dyDescent="0.45">
      <c r="B35" s="16" t="s">
        <v>42</v>
      </c>
      <c r="E35" s="65"/>
    </row>
    <row r="36" spans="2:5" x14ac:dyDescent="0.45">
      <c r="B36" s="17" t="s">
        <v>23</v>
      </c>
      <c r="C36" s="87">
        <f>+C32</f>
        <v>592.2555317630264</v>
      </c>
      <c r="E36" s="65"/>
    </row>
    <row r="37" spans="2:5" x14ac:dyDescent="0.45">
      <c r="B37" s="17" t="s">
        <v>24</v>
      </c>
      <c r="C37" s="27">
        <v>0.3</v>
      </c>
      <c r="D37" s="15" t="s">
        <v>43</v>
      </c>
      <c r="E37" s="65"/>
    </row>
    <row r="38" spans="2:5" x14ac:dyDescent="0.45">
      <c r="B38" s="17" t="s">
        <v>22</v>
      </c>
      <c r="C38" s="83">
        <f>+C36/C37</f>
        <v>1974.1851058767547</v>
      </c>
      <c r="D38" s="15" t="s">
        <v>44</v>
      </c>
      <c r="E38" s="65"/>
    </row>
    <row r="39" spans="2:5" x14ac:dyDescent="0.45">
      <c r="B39" s="17" t="s">
        <v>25</v>
      </c>
      <c r="C39" s="83">
        <f>+C38*C37</f>
        <v>592.2555317630264</v>
      </c>
      <c r="E39" s="65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C6" sqref="C6"/>
    </sheetView>
  </sheetViews>
  <sheetFormatPr defaultColWidth="8.86328125" defaultRowHeight="14.25" x14ac:dyDescent="0.45"/>
  <cols>
    <col min="1" max="1" width="14.19921875" style="3" customWidth="1"/>
    <col min="2" max="2" width="23.1328125" style="3" customWidth="1"/>
    <col min="3" max="3" width="12.1328125" style="3" bestFit="1" customWidth="1"/>
    <col min="4" max="4" width="66.796875" style="3" customWidth="1"/>
    <col min="5" max="5" width="2.796875" style="3" customWidth="1"/>
    <col min="6" max="6" width="27.33203125" style="3" customWidth="1"/>
    <col min="7" max="7" width="11.1328125" style="3" bestFit="1" customWidth="1"/>
    <col min="8" max="8" width="8.86328125" style="3"/>
    <col min="9" max="9" width="9.53125" style="3" bestFit="1" customWidth="1"/>
    <col min="10" max="16384" width="8.86328125" style="3"/>
  </cols>
  <sheetData>
    <row r="1" spans="1:8" ht="14.65" thickBot="1" x14ac:dyDescent="0.5">
      <c r="A1" s="16" t="s">
        <v>26</v>
      </c>
      <c r="B1" s="2"/>
      <c r="C1" s="34"/>
      <c r="D1" s="35" t="s">
        <v>101</v>
      </c>
    </row>
    <row r="2" spans="1:8" ht="14.65" thickBot="1" x14ac:dyDescent="0.5">
      <c r="A2" s="1"/>
      <c r="B2" s="12"/>
      <c r="C2" s="36"/>
      <c r="D2" s="35" t="s">
        <v>100</v>
      </c>
    </row>
    <row r="3" spans="1:8" x14ac:dyDescent="0.45">
      <c r="A3" s="16"/>
      <c r="B3" s="40"/>
      <c r="C3" s="15"/>
      <c r="D3" s="15"/>
    </row>
    <row r="4" spans="1:8" x14ac:dyDescent="0.45">
      <c r="A4" s="15"/>
      <c r="B4" s="15"/>
      <c r="C4" s="15"/>
      <c r="D4" s="33" t="s">
        <v>38</v>
      </c>
      <c r="E4" s="4"/>
    </row>
    <row r="5" spans="1:8" x14ac:dyDescent="0.45">
      <c r="B5" s="14" t="s">
        <v>14</v>
      </c>
      <c r="C5" s="5"/>
      <c r="D5" s="15" t="s">
        <v>28</v>
      </c>
      <c r="E5" s="6"/>
    </row>
    <row r="6" spans="1:8" x14ac:dyDescent="0.45">
      <c r="B6" s="14" t="s">
        <v>27</v>
      </c>
      <c r="C6" s="5"/>
      <c r="D6" s="15" t="s">
        <v>82</v>
      </c>
      <c r="E6" s="6"/>
    </row>
    <row r="7" spans="1:8" x14ac:dyDescent="0.45">
      <c r="B7" s="14" t="s">
        <v>15</v>
      </c>
      <c r="C7" s="5"/>
      <c r="D7" s="15" t="s">
        <v>74</v>
      </c>
      <c r="E7" s="6"/>
    </row>
    <row r="8" spans="1:8" x14ac:dyDescent="0.45">
      <c r="B8" s="14" t="s">
        <v>17</v>
      </c>
      <c r="C8" s="2"/>
      <c r="D8" s="15" t="s">
        <v>29</v>
      </c>
      <c r="E8" s="6"/>
    </row>
    <row r="9" spans="1:8" x14ac:dyDescent="0.45">
      <c r="B9" s="14" t="s">
        <v>16</v>
      </c>
      <c r="C9" s="22" t="e">
        <f>+C7/C6</f>
        <v>#DIV/0!</v>
      </c>
      <c r="D9" s="15" t="s">
        <v>75</v>
      </c>
      <c r="E9" s="6"/>
    </row>
    <row r="10" spans="1:8" x14ac:dyDescent="0.45">
      <c r="B10" s="15"/>
      <c r="D10" s="15"/>
      <c r="E10" s="6"/>
    </row>
    <row r="11" spans="1:8" x14ac:dyDescent="0.45">
      <c r="B11" s="16" t="s">
        <v>11</v>
      </c>
      <c r="D11" s="15"/>
      <c r="E11" s="6"/>
      <c r="F11" s="16" t="s">
        <v>87</v>
      </c>
      <c r="G11" s="3" t="s">
        <v>39</v>
      </c>
      <c r="H11" s="33" t="s">
        <v>38</v>
      </c>
    </row>
    <row r="12" spans="1:8" x14ac:dyDescent="0.45">
      <c r="B12" s="17" t="s">
        <v>1</v>
      </c>
      <c r="C12" s="7"/>
      <c r="D12" s="15" t="s">
        <v>30</v>
      </c>
      <c r="E12" s="6"/>
      <c r="F12" s="17" t="s">
        <v>1</v>
      </c>
      <c r="G12" s="7"/>
      <c r="H12" s="15" t="s">
        <v>88</v>
      </c>
    </row>
    <row r="13" spans="1:8" x14ac:dyDescent="0.45">
      <c r="B13" s="17" t="s">
        <v>2</v>
      </c>
      <c r="C13" s="8"/>
      <c r="D13" s="15" t="s">
        <v>31</v>
      </c>
      <c r="E13" s="6"/>
      <c r="F13" s="17" t="s">
        <v>89</v>
      </c>
      <c r="G13" s="8"/>
      <c r="H13" s="15" t="s">
        <v>90</v>
      </c>
    </row>
    <row r="14" spans="1:8" x14ac:dyDescent="0.45">
      <c r="B14" s="18" t="s">
        <v>3</v>
      </c>
      <c r="C14" s="23">
        <f>+C12*C13</f>
        <v>0</v>
      </c>
      <c r="D14" s="15" t="s">
        <v>32</v>
      </c>
      <c r="E14" s="6"/>
      <c r="F14" s="17" t="s">
        <v>13</v>
      </c>
      <c r="G14" s="8"/>
      <c r="H14" s="15" t="s">
        <v>91</v>
      </c>
    </row>
    <row r="15" spans="1:8" x14ac:dyDescent="0.45">
      <c r="B15" s="17"/>
      <c r="C15" s="9"/>
      <c r="D15" s="15"/>
      <c r="E15" s="6"/>
      <c r="F15" s="15"/>
      <c r="H15" s="15"/>
    </row>
    <row r="16" spans="1:8" x14ac:dyDescent="0.45">
      <c r="B16" s="17" t="s">
        <v>0</v>
      </c>
      <c r="C16" s="8"/>
      <c r="D16" s="15" t="s">
        <v>33</v>
      </c>
      <c r="E16" s="6"/>
      <c r="F16" s="15"/>
      <c r="H16" s="15"/>
    </row>
    <row r="17" spans="2:9" x14ac:dyDescent="0.45">
      <c r="B17" s="17" t="s">
        <v>4</v>
      </c>
      <c r="C17" s="8"/>
      <c r="D17" s="15" t="s">
        <v>34</v>
      </c>
      <c r="E17" s="6"/>
      <c r="F17" s="29" t="str">
        <f>+B17</f>
        <v>Equipment</v>
      </c>
      <c r="G17" s="10"/>
      <c r="H17" s="15" t="s">
        <v>97</v>
      </c>
    </row>
    <row r="18" spans="2:9" x14ac:dyDescent="0.45">
      <c r="B18" s="17" t="s">
        <v>5</v>
      </c>
      <c r="C18" s="23">
        <f>+C16+C17</f>
        <v>0</v>
      </c>
      <c r="D18" s="15" t="s">
        <v>35</v>
      </c>
      <c r="E18" s="6"/>
      <c r="F18" s="29" t="s">
        <v>92</v>
      </c>
      <c r="G18" s="11"/>
      <c r="H18" s="15" t="s">
        <v>93</v>
      </c>
    </row>
    <row r="19" spans="2:9" x14ac:dyDescent="0.45">
      <c r="B19" s="17" t="s">
        <v>12</v>
      </c>
      <c r="C19" s="7"/>
      <c r="D19" s="15" t="s">
        <v>95</v>
      </c>
      <c r="E19" s="6"/>
      <c r="F19" s="30" t="s">
        <v>6</v>
      </c>
      <c r="G19" s="23" t="e">
        <f>+G17/G18</f>
        <v>#DIV/0!</v>
      </c>
      <c r="H19" s="15" t="s">
        <v>94</v>
      </c>
    </row>
    <row r="20" spans="2:9" x14ac:dyDescent="0.45">
      <c r="B20" s="17" t="s">
        <v>77</v>
      </c>
      <c r="C20" s="7"/>
      <c r="D20" s="15" t="s">
        <v>78</v>
      </c>
      <c r="E20" s="6"/>
      <c r="F20" s="29" t="s">
        <v>83</v>
      </c>
      <c r="G20" s="7"/>
      <c r="H20" s="15"/>
    </row>
    <row r="21" spans="2:9" x14ac:dyDescent="0.45">
      <c r="B21" s="18" t="s">
        <v>76</v>
      </c>
      <c r="C21" s="23" t="e">
        <f>(C18/C19)*C20</f>
        <v>#DIV/0!</v>
      </c>
      <c r="D21" s="15" t="s">
        <v>96</v>
      </c>
      <c r="E21" s="6"/>
      <c r="F21" s="30" t="s">
        <v>98</v>
      </c>
      <c r="G21" s="23" t="e">
        <f>+G19*G20</f>
        <v>#DIV/0!</v>
      </c>
      <c r="H21" s="15"/>
    </row>
    <row r="22" spans="2:9" x14ac:dyDescent="0.45">
      <c r="B22" s="19"/>
      <c r="C22" s="12"/>
      <c r="D22" s="15"/>
      <c r="E22" s="6"/>
      <c r="F22" s="15"/>
      <c r="H22" s="15"/>
    </row>
    <row r="23" spans="2:9" x14ac:dyDescent="0.45">
      <c r="B23" s="20" t="s">
        <v>10</v>
      </c>
      <c r="D23" s="15"/>
      <c r="E23" s="6"/>
      <c r="F23" s="15"/>
      <c r="H23" s="15"/>
    </row>
    <row r="24" spans="2:9" x14ac:dyDescent="0.45">
      <c r="B24" s="17" t="s">
        <v>7</v>
      </c>
      <c r="C24" s="8"/>
      <c r="D24" s="15" t="s">
        <v>79</v>
      </c>
      <c r="E24" s="6"/>
      <c r="F24" s="15"/>
      <c r="H24" s="15"/>
    </row>
    <row r="25" spans="2:9" x14ac:dyDescent="0.45">
      <c r="B25" s="17" t="s">
        <v>8</v>
      </c>
      <c r="C25" s="8"/>
      <c r="D25" s="15" t="s">
        <v>80</v>
      </c>
      <c r="E25" s="6"/>
      <c r="F25" s="29" t="str">
        <f>+B25</f>
        <v>Fuel</v>
      </c>
      <c r="G25" s="8"/>
      <c r="H25" s="15" t="s">
        <v>40</v>
      </c>
    </row>
    <row r="26" spans="2:9" x14ac:dyDescent="0.45">
      <c r="B26" s="17" t="s">
        <v>9</v>
      </c>
      <c r="C26" s="8"/>
      <c r="D26" s="15" t="s">
        <v>81</v>
      </c>
      <c r="E26" s="6"/>
      <c r="F26" s="29" t="str">
        <f>+B26</f>
        <v>Supplies</v>
      </c>
      <c r="G26" s="8"/>
      <c r="H26" s="15" t="s">
        <v>41</v>
      </c>
    </row>
    <row r="27" spans="2:9" x14ac:dyDescent="0.45">
      <c r="B27" s="15"/>
      <c r="D27" s="15"/>
      <c r="E27" s="6"/>
      <c r="F27" s="15"/>
      <c r="H27" s="15"/>
    </row>
    <row r="28" spans="2:9" x14ac:dyDescent="0.45">
      <c r="B28" s="21" t="s">
        <v>18</v>
      </c>
      <c r="C28" s="24" t="e">
        <f>+C14+C21+C24+C25+C26+G28</f>
        <v>#DIV/0!</v>
      </c>
      <c r="D28" s="15"/>
      <c r="E28" s="6"/>
      <c r="F28" s="31" t="str">
        <f>+B28</f>
        <v>Total Annual</v>
      </c>
      <c r="G28" s="24" t="e">
        <f>+G13+G14+G21+G25+G26</f>
        <v>#DIV/0!</v>
      </c>
      <c r="H28" s="15"/>
      <c r="I28" s="13"/>
    </row>
    <row r="29" spans="2:9" x14ac:dyDescent="0.45">
      <c r="B29" s="15"/>
      <c r="D29" s="15"/>
      <c r="E29" s="6"/>
      <c r="F29" s="15"/>
      <c r="G29" s="15"/>
      <c r="H29" s="15"/>
    </row>
    <row r="30" spans="2:9" x14ac:dyDescent="0.45">
      <c r="B30" s="15" t="s">
        <v>19</v>
      </c>
      <c r="C30" s="25" t="e">
        <f>+C28/C6</f>
        <v>#DIV/0!</v>
      </c>
      <c r="D30" s="15" t="s">
        <v>84</v>
      </c>
      <c r="E30" s="6"/>
      <c r="F30" s="32" t="str">
        <f>+B30</f>
        <v>Cost/UH</v>
      </c>
      <c r="G30" s="25" t="e">
        <f>+G28/C6</f>
        <v>#DIV/0!</v>
      </c>
      <c r="H30" s="15" t="s">
        <v>37</v>
      </c>
    </row>
    <row r="31" spans="2:9" x14ac:dyDescent="0.45">
      <c r="B31" s="15" t="s">
        <v>20</v>
      </c>
      <c r="C31" s="25" t="e">
        <f>+C28/C7</f>
        <v>#DIV/0!</v>
      </c>
      <c r="D31" s="15" t="s">
        <v>85</v>
      </c>
      <c r="E31" s="6"/>
      <c r="F31" s="32" t="str">
        <f>+B31</f>
        <v>Cost/Response</v>
      </c>
      <c r="G31" s="25" t="e">
        <f>+G28/C7</f>
        <v>#DIV/0!</v>
      </c>
      <c r="H31" s="15" t="s">
        <v>36</v>
      </c>
    </row>
    <row r="32" spans="2:9" x14ac:dyDescent="0.45">
      <c r="B32" s="15" t="s">
        <v>21</v>
      </c>
      <c r="C32" s="25" t="e">
        <f>+C28/C8</f>
        <v>#DIV/0!</v>
      </c>
      <c r="D32" s="15" t="s">
        <v>86</v>
      </c>
      <c r="E32" s="6"/>
      <c r="F32" s="32" t="s">
        <v>21</v>
      </c>
      <c r="G32" s="25" t="e">
        <f>+G28/C8</f>
        <v>#DIV/0!</v>
      </c>
      <c r="H32" s="15"/>
    </row>
    <row r="33" spans="2:8" x14ac:dyDescent="0.45">
      <c r="B33" s="15"/>
      <c r="D33" s="15"/>
      <c r="E33" s="6"/>
      <c r="H33" s="15"/>
    </row>
    <row r="34" spans="2:8" x14ac:dyDescent="0.45">
      <c r="B34" s="15"/>
      <c r="D34" s="15"/>
      <c r="E34" s="6"/>
      <c r="H34" s="15"/>
    </row>
    <row r="35" spans="2:8" x14ac:dyDescent="0.45">
      <c r="B35" s="16" t="s">
        <v>42</v>
      </c>
      <c r="D35" s="15"/>
      <c r="E35" s="6"/>
      <c r="H35" s="15"/>
    </row>
    <row r="36" spans="2:8" x14ac:dyDescent="0.45">
      <c r="B36" s="17" t="s">
        <v>23</v>
      </c>
      <c r="C36" s="26" t="e">
        <f>+C32</f>
        <v>#DIV/0!</v>
      </c>
      <c r="D36" s="15"/>
      <c r="E36" s="6"/>
      <c r="H36" s="15"/>
    </row>
    <row r="37" spans="2:8" x14ac:dyDescent="0.45">
      <c r="B37" s="17" t="s">
        <v>24</v>
      </c>
      <c r="C37" s="27">
        <f>+'Payer Analysis Template'!F29</f>
        <v>0</v>
      </c>
      <c r="D37" s="15" t="s">
        <v>43</v>
      </c>
      <c r="E37" s="6"/>
      <c r="H37" s="15"/>
    </row>
    <row r="38" spans="2:8" x14ac:dyDescent="0.45">
      <c r="B38" s="17" t="s">
        <v>22</v>
      </c>
      <c r="C38" s="28" t="e">
        <f>+C36/C37</f>
        <v>#DIV/0!</v>
      </c>
      <c r="D38" s="15" t="s">
        <v>44</v>
      </c>
      <c r="E38" s="6"/>
      <c r="H38" s="15"/>
    </row>
    <row r="39" spans="2:8" x14ac:dyDescent="0.45">
      <c r="B39" s="17" t="s">
        <v>25</v>
      </c>
      <c r="C39" s="28" t="e">
        <f>+C38*C37</f>
        <v>#DIV/0!</v>
      </c>
      <c r="D39" s="15"/>
      <c r="E39" s="6"/>
    </row>
  </sheetData>
  <sheetProtection password="CC53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C3E4-FDC2-4612-83C1-02BA18E0C270}">
  <dimension ref="A1:E20"/>
  <sheetViews>
    <sheetView workbookViewId="0"/>
  </sheetViews>
  <sheetFormatPr defaultRowHeight="14.25" x14ac:dyDescent="0.45"/>
  <cols>
    <col min="1" max="1" width="24.19921875" customWidth="1"/>
    <col min="2" max="2" width="14.53125" customWidth="1"/>
    <col min="4" max="4" width="27.6640625" customWidth="1"/>
    <col min="5" max="5" width="14.19921875" customWidth="1"/>
  </cols>
  <sheetData>
    <row r="1" spans="1:5" x14ac:dyDescent="0.45">
      <c r="A1" s="16" t="s">
        <v>26</v>
      </c>
      <c r="B1" s="63" t="s">
        <v>99</v>
      </c>
    </row>
    <row r="2" spans="1:5" ht="18" x14ac:dyDescent="0.55000000000000004">
      <c r="D2" s="100" t="s">
        <v>118</v>
      </c>
    </row>
    <row r="3" spans="1:5" x14ac:dyDescent="0.45">
      <c r="A3" t="s">
        <v>105</v>
      </c>
      <c r="B3" s="121">
        <f>+'Service Delivery Cost Example'!C28</f>
        <v>829750</v>
      </c>
      <c r="D3" t="s">
        <v>105</v>
      </c>
      <c r="E3" s="93">
        <f>+B3</f>
        <v>829750</v>
      </c>
    </row>
    <row r="4" spans="1:5" x14ac:dyDescent="0.45">
      <c r="A4" t="s">
        <v>106</v>
      </c>
      <c r="B4" s="121">
        <f>+'Payer Analysis Example'!F30</f>
        <v>624460.72499999998</v>
      </c>
      <c r="D4" t="s">
        <v>106</v>
      </c>
      <c r="E4" s="93">
        <f>+'Payer Analysis Example'!N30</f>
        <v>887043.15</v>
      </c>
    </row>
    <row r="5" spans="1:5" x14ac:dyDescent="0.45">
      <c r="A5" t="s">
        <v>114</v>
      </c>
      <c r="B5" s="122">
        <f>+B4-B3</f>
        <v>-205289.27500000002</v>
      </c>
      <c r="D5" t="s">
        <v>114</v>
      </c>
      <c r="E5" s="101">
        <f>+E4-E3</f>
        <v>57293.150000000023</v>
      </c>
    </row>
    <row r="6" spans="1:5" x14ac:dyDescent="0.45">
      <c r="B6" s="123"/>
      <c r="E6" s="79"/>
    </row>
    <row r="7" spans="1:5" x14ac:dyDescent="0.45">
      <c r="A7" s="81" t="s">
        <v>115</v>
      </c>
      <c r="B7" s="124">
        <f>+'Service Delivery Cost Example'!C7</f>
        <v>2000</v>
      </c>
      <c r="D7" s="81" t="s">
        <v>115</v>
      </c>
      <c r="E7" s="82">
        <f>+B7</f>
        <v>2000</v>
      </c>
    </row>
    <row r="8" spans="1:5" x14ac:dyDescent="0.45">
      <c r="A8" s="80" t="s">
        <v>107</v>
      </c>
      <c r="B8" s="125">
        <f>+B3/B7</f>
        <v>414.875</v>
      </c>
      <c r="D8" s="80" t="s">
        <v>107</v>
      </c>
      <c r="E8" s="94">
        <f>+E3/E7</f>
        <v>414.875</v>
      </c>
    </row>
    <row r="9" spans="1:5" x14ac:dyDescent="0.45">
      <c r="A9" s="80" t="s">
        <v>108</v>
      </c>
      <c r="B9" s="125">
        <f>+B4/B7</f>
        <v>312.23036250000001</v>
      </c>
      <c r="D9" s="80" t="s">
        <v>108</v>
      </c>
      <c r="E9" s="94">
        <f>+E4/E7</f>
        <v>443.52157499999998</v>
      </c>
    </row>
    <row r="10" spans="1:5" x14ac:dyDescent="0.45">
      <c r="A10" s="80" t="s">
        <v>114</v>
      </c>
      <c r="B10" s="126">
        <f>+B9-B8</f>
        <v>-102.64463749999999</v>
      </c>
      <c r="D10" s="80" t="s">
        <v>114</v>
      </c>
      <c r="E10" s="102">
        <f>+E9-E8</f>
        <v>28.646574999999984</v>
      </c>
    </row>
    <row r="11" spans="1:5" x14ac:dyDescent="0.45">
      <c r="B11" s="123"/>
      <c r="E11" s="79"/>
    </row>
    <row r="12" spans="1:5" x14ac:dyDescent="0.45">
      <c r="A12" s="81" t="s">
        <v>116</v>
      </c>
      <c r="B12" s="124">
        <f>+'Service Delivery Cost Example'!C8</f>
        <v>1401</v>
      </c>
      <c r="D12" s="81" t="s">
        <v>116</v>
      </c>
      <c r="E12" s="82">
        <f>+B12</f>
        <v>1401</v>
      </c>
    </row>
    <row r="13" spans="1:5" x14ac:dyDescent="0.45">
      <c r="A13" s="80" t="s">
        <v>23</v>
      </c>
      <c r="B13" s="125">
        <f>+B3/B12</f>
        <v>592.2555317630264</v>
      </c>
      <c r="D13" s="80" t="s">
        <v>23</v>
      </c>
      <c r="E13" s="94">
        <f>+E3/E12</f>
        <v>592.2555317630264</v>
      </c>
    </row>
    <row r="14" spans="1:5" x14ac:dyDescent="0.45">
      <c r="A14" s="80" t="s">
        <v>109</v>
      </c>
      <c r="B14" s="125">
        <f>+B4/B12</f>
        <v>445.72499999999997</v>
      </c>
      <c r="D14" s="80" t="s">
        <v>109</v>
      </c>
      <c r="E14" s="94">
        <f>+E4/E12</f>
        <v>633.15</v>
      </c>
    </row>
    <row r="15" spans="1:5" x14ac:dyDescent="0.45">
      <c r="A15" s="80" t="s">
        <v>114</v>
      </c>
      <c r="B15" s="126">
        <f>+B14-B13</f>
        <v>-146.53053176302643</v>
      </c>
      <c r="D15" s="80" t="s">
        <v>114</v>
      </c>
      <c r="E15" s="102">
        <f>+E14-E13</f>
        <v>40.89446823697358</v>
      </c>
    </row>
    <row r="16" spans="1:5" x14ac:dyDescent="0.45">
      <c r="B16" s="123"/>
      <c r="E16" s="79"/>
    </row>
    <row r="17" spans="1:5" x14ac:dyDescent="0.45">
      <c r="A17" s="81" t="s">
        <v>117</v>
      </c>
      <c r="B17" s="124">
        <f>+'Service Delivery Cost Example'!C6</f>
        <v>8760</v>
      </c>
      <c r="D17" s="81" t="s">
        <v>117</v>
      </c>
      <c r="E17" s="82">
        <f>+B17</f>
        <v>8760</v>
      </c>
    </row>
    <row r="18" spans="1:5" x14ac:dyDescent="0.45">
      <c r="A18" s="80" t="s">
        <v>110</v>
      </c>
      <c r="B18" s="125">
        <f>+B3/B17</f>
        <v>94.720319634703202</v>
      </c>
      <c r="D18" s="80" t="s">
        <v>110</v>
      </c>
      <c r="E18" s="94">
        <f>+E3/E17</f>
        <v>94.720319634703202</v>
      </c>
    </row>
    <row r="19" spans="1:5" x14ac:dyDescent="0.45">
      <c r="A19" s="80" t="s">
        <v>111</v>
      </c>
      <c r="B19" s="125">
        <f>+B4/B17</f>
        <v>71.285470890410963</v>
      </c>
      <c r="D19" s="80" t="s">
        <v>111</v>
      </c>
      <c r="E19" s="94">
        <f>+E4/E17</f>
        <v>101.26063356164384</v>
      </c>
    </row>
    <row r="20" spans="1:5" x14ac:dyDescent="0.45">
      <c r="A20" s="80" t="s">
        <v>114</v>
      </c>
      <c r="B20" s="126">
        <f>+B19-B18</f>
        <v>-23.434848744292239</v>
      </c>
      <c r="D20" s="80" t="s">
        <v>114</v>
      </c>
      <c r="E20" s="102">
        <f>+E19-E18</f>
        <v>6.540313926940641</v>
      </c>
    </row>
  </sheetData>
  <sheetProtection algorithmName="SHA-512" hashValue="cF4T9D7w491Z4Q0LuZp7fpbCWSoRb85C1AfX3jJAKrAXimmEscrZHMtRa5SC5qJSJ+eTqwkM9Qf+ZNNDB9xzow==" saltValue="eojFkxBXqB16ZFFt9TrFfw==" spinCount="100000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A2EF-430C-442F-B082-DA783E73FCEC}">
  <dimension ref="A1:E20"/>
  <sheetViews>
    <sheetView tabSelected="1" workbookViewId="0">
      <selection activeCell="G7" sqref="G7"/>
    </sheetView>
  </sheetViews>
  <sheetFormatPr defaultRowHeight="14.25" x14ac:dyDescent="0.45"/>
  <cols>
    <col min="1" max="1" width="24.19921875" customWidth="1"/>
    <col min="2" max="2" width="14.53125" customWidth="1"/>
    <col min="4" max="4" width="27.6640625" customWidth="1"/>
    <col min="5" max="5" width="14.19921875" customWidth="1"/>
  </cols>
  <sheetData>
    <row r="1" spans="1:5" x14ac:dyDescent="0.45">
      <c r="A1" s="16" t="s">
        <v>26</v>
      </c>
      <c r="B1" s="63" t="s">
        <v>99</v>
      </c>
    </row>
    <row r="2" spans="1:5" ht="18" x14ac:dyDescent="0.55000000000000004">
      <c r="D2" s="100" t="s">
        <v>118</v>
      </c>
    </row>
    <row r="3" spans="1:5" x14ac:dyDescent="0.45">
      <c r="A3" t="s">
        <v>105</v>
      </c>
      <c r="B3" s="93">
        <f>+'Service Delivery Cost Example'!C28</f>
        <v>829750</v>
      </c>
      <c r="D3" t="s">
        <v>105</v>
      </c>
      <c r="E3" s="93">
        <f>+B3</f>
        <v>829750</v>
      </c>
    </row>
    <row r="4" spans="1:5" x14ac:dyDescent="0.45">
      <c r="A4" t="s">
        <v>106</v>
      </c>
      <c r="B4" s="93">
        <f>+'Payer Analysis Example'!F30</f>
        <v>624460.72499999998</v>
      </c>
      <c r="D4" t="s">
        <v>106</v>
      </c>
      <c r="E4" s="93">
        <f>+'Payer Analysis Example'!N30</f>
        <v>887043.15</v>
      </c>
    </row>
    <row r="5" spans="1:5" x14ac:dyDescent="0.45">
      <c r="A5" t="s">
        <v>114</v>
      </c>
      <c r="B5" s="98">
        <f>+B4-B3</f>
        <v>-205289.27500000002</v>
      </c>
      <c r="D5" t="s">
        <v>114</v>
      </c>
      <c r="E5" s="101">
        <f>+E4-E3</f>
        <v>57293.150000000023</v>
      </c>
    </row>
    <row r="6" spans="1:5" x14ac:dyDescent="0.45">
      <c r="B6" s="79"/>
      <c r="E6" s="79"/>
    </row>
    <row r="7" spans="1:5" x14ac:dyDescent="0.45">
      <c r="A7" s="81" t="s">
        <v>115</v>
      </c>
      <c r="B7" s="82">
        <f>+'Service Delivery Cost Example'!C7</f>
        <v>2000</v>
      </c>
      <c r="D7" s="81" t="s">
        <v>115</v>
      </c>
      <c r="E7" s="82">
        <f>+B7</f>
        <v>2000</v>
      </c>
    </row>
    <row r="8" spans="1:5" x14ac:dyDescent="0.45">
      <c r="A8" s="80" t="s">
        <v>107</v>
      </c>
      <c r="B8" s="94">
        <f>+B3/B7</f>
        <v>414.875</v>
      </c>
      <c r="D8" s="80" t="s">
        <v>107</v>
      </c>
      <c r="E8" s="94">
        <f>+E3/E7</f>
        <v>414.875</v>
      </c>
    </row>
    <row r="9" spans="1:5" x14ac:dyDescent="0.45">
      <c r="A9" s="80" t="s">
        <v>108</v>
      </c>
      <c r="B9" s="94">
        <f>+B4/B7</f>
        <v>312.23036250000001</v>
      </c>
      <c r="D9" s="80" t="s">
        <v>108</v>
      </c>
      <c r="E9" s="94">
        <f>+E4/E7</f>
        <v>443.52157499999998</v>
      </c>
    </row>
    <row r="10" spans="1:5" x14ac:dyDescent="0.45">
      <c r="A10" s="80" t="s">
        <v>114</v>
      </c>
      <c r="B10" s="99">
        <f>+B9-B8</f>
        <v>-102.64463749999999</v>
      </c>
      <c r="D10" s="80" t="s">
        <v>114</v>
      </c>
      <c r="E10" s="102">
        <f>+E9-E8</f>
        <v>28.646574999999984</v>
      </c>
    </row>
    <row r="11" spans="1:5" x14ac:dyDescent="0.45">
      <c r="B11" s="79"/>
      <c r="E11" s="79"/>
    </row>
    <row r="12" spans="1:5" x14ac:dyDescent="0.45">
      <c r="A12" s="81" t="s">
        <v>116</v>
      </c>
      <c r="B12" s="82">
        <f>+'Service Delivery Cost Example'!C8</f>
        <v>1401</v>
      </c>
      <c r="D12" s="81" t="s">
        <v>116</v>
      </c>
      <c r="E12" s="82">
        <f>+B12</f>
        <v>1401</v>
      </c>
    </row>
    <row r="13" spans="1:5" x14ac:dyDescent="0.45">
      <c r="A13" s="80" t="s">
        <v>23</v>
      </c>
      <c r="B13" s="94">
        <f>+B3/B12</f>
        <v>592.2555317630264</v>
      </c>
      <c r="D13" s="80" t="s">
        <v>23</v>
      </c>
      <c r="E13" s="94">
        <f>+E3/E12</f>
        <v>592.2555317630264</v>
      </c>
    </row>
    <row r="14" spans="1:5" x14ac:dyDescent="0.45">
      <c r="A14" s="80" t="s">
        <v>109</v>
      </c>
      <c r="B14" s="94">
        <f>+B4/B12</f>
        <v>445.72499999999997</v>
      </c>
      <c r="D14" s="80" t="s">
        <v>109</v>
      </c>
      <c r="E14" s="94">
        <f>+E4/E12</f>
        <v>633.15</v>
      </c>
    </row>
    <row r="15" spans="1:5" x14ac:dyDescent="0.45">
      <c r="A15" s="80" t="s">
        <v>114</v>
      </c>
      <c r="B15" s="99">
        <f>+B14-B13</f>
        <v>-146.53053176302643</v>
      </c>
      <c r="D15" s="80" t="s">
        <v>114</v>
      </c>
      <c r="E15" s="102">
        <f>+E14-E13</f>
        <v>40.89446823697358</v>
      </c>
    </row>
    <row r="16" spans="1:5" x14ac:dyDescent="0.45">
      <c r="B16" s="79"/>
      <c r="E16" s="79"/>
    </row>
    <row r="17" spans="1:5" x14ac:dyDescent="0.45">
      <c r="A17" s="81" t="s">
        <v>117</v>
      </c>
      <c r="B17" s="82">
        <f>+'Service Delivery Cost Example'!C6</f>
        <v>8760</v>
      </c>
      <c r="D17" s="81" t="s">
        <v>117</v>
      </c>
      <c r="E17" s="82">
        <f>+B17</f>
        <v>8760</v>
      </c>
    </row>
    <row r="18" spans="1:5" x14ac:dyDescent="0.45">
      <c r="A18" s="80" t="s">
        <v>110</v>
      </c>
      <c r="B18" s="94">
        <f>+B3/B17</f>
        <v>94.720319634703202</v>
      </c>
      <c r="D18" s="80" t="s">
        <v>110</v>
      </c>
      <c r="E18" s="94">
        <f>+E3/E17</f>
        <v>94.720319634703202</v>
      </c>
    </row>
    <row r="19" spans="1:5" x14ac:dyDescent="0.45">
      <c r="A19" s="80" t="s">
        <v>111</v>
      </c>
      <c r="B19" s="94">
        <f>+B4/B17</f>
        <v>71.285470890410963</v>
      </c>
      <c r="D19" s="80" t="s">
        <v>111</v>
      </c>
      <c r="E19" s="94">
        <f>+E4/E17</f>
        <v>101.26063356164384</v>
      </c>
    </row>
    <row r="20" spans="1:5" x14ac:dyDescent="0.45">
      <c r="A20" s="80" t="s">
        <v>114</v>
      </c>
      <c r="B20" s="99">
        <f>+B19-B18</f>
        <v>-23.434848744292239</v>
      </c>
      <c r="D20" s="80" t="s">
        <v>114</v>
      </c>
      <c r="E20" s="102">
        <f>+E19-E18</f>
        <v>6.540313926940641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topLeftCell="B17" workbookViewId="0">
      <selection activeCell="J38" sqref="J38"/>
    </sheetView>
  </sheetViews>
  <sheetFormatPr defaultColWidth="8.86328125" defaultRowHeight="14.25" x14ac:dyDescent="0.45"/>
  <cols>
    <col min="1" max="1" width="15.33203125" style="15" customWidth="1"/>
    <col min="2" max="2" width="22.6640625" style="15" customWidth="1"/>
    <col min="3" max="3" width="15.33203125" style="15" customWidth="1"/>
    <col min="4" max="4" width="13.19921875" style="15" customWidth="1"/>
    <col min="5" max="5" width="14.53125" style="15" customWidth="1"/>
    <col min="6" max="6" width="12.796875" style="15" customWidth="1"/>
    <col min="7" max="8" width="10.796875" style="15" customWidth="1"/>
    <col min="9" max="9" width="12" style="15" customWidth="1"/>
    <col min="10" max="10" width="22.796875" style="15" customWidth="1"/>
    <col min="11" max="11" width="12.46484375" style="15" bestFit="1" customWidth="1"/>
    <col min="12" max="12" width="11.796875" style="15" customWidth="1"/>
    <col min="13" max="13" width="10.796875" style="15" customWidth="1"/>
    <col min="14" max="14" width="12.796875" style="15" customWidth="1"/>
    <col min="15" max="15" width="8.86328125" style="15"/>
    <col min="16" max="16" width="10" style="15" customWidth="1"/>
    <col min="17" max="16384" width="8.86328125" style="15"/>
  </cols>
  <sheetData>
    <row r="1" spans="1:13" ht="18.399999999999999" thickBot="1" x14ac:dyDescent="0.6">
      <c r="B1" s="75" t="s">
        <v>104</v>
      </c>
    </row>
    <row r="2" spans="1:13" ht="14.65" thickBot="1" x14ac:dyDescent="0.5">
      <c r="A2" s="16" t="s">
        <v>26</v>
      </c>
      <c r="B2" s="63" t="s">
        <v>99</v>
      </c>
      <c r="C2" s="34"/>
      <c r="D2" s="35" t="s">
        <v>101</v>
      </c>
    </row>
    <row r="3" spans="1:13" ht="14.65" thickBot="1" x14ac:dyDescent="0.5">
      <c r="A3" s="16"/>
      <c r="B3" s="40"/>
      <c r="C3" s="36"/>
      <c r="D3" s="35" t="s">
        <v>100</v>
      </c>
    </row>
    <row r="5" spans="1:13" x14ac:dyDescent="0.45">
      <c r="B5" s="41" t="s">
        <v>61</v>
      </c>
      <c r="C5" s="40"/>
      <c r="D5" s="40"/>
    </row>
    <row r="6" spans="1:13" ht="28.5" x14ac:dyDescent="0.45">
      <c r="C6" s="16" t="s">
        <v>45</v>
      </c>
      <c r="D6" s="42" t="s">
        <v>58</v>
      </c>
      <c r="E6" s="42" t="s">
        <v>46</v>
      </c>
      <c r="F6" s="42" t="s">
        <v>47</v>
      </c>
      <c r="G6" s="42" t="s">
        <v>59</v>
      </c>
      <c r="H6" s="43" t="s">
        <v>48</v>
      </c>
      <c r="I6" s="42" t="s">
        <v>49</v>
      </c>
      <c r="J6" s="42" t="s">
        <v>50</v>
      </c>
      <c r="K6" s="42" t="s">
        <v>51</v>
      </c>
      <c r="L6" s="43" t="s">
        <v>52</v>
      </c>
      <c r="M6" s="42" t="s">
        <v>60</v>
      </c>
    </row>
    <row r="7" spans="1:13" x14ac:dyDescent="0.45">
      <c r="C7" s="71">
        <v>44583</v>
      </c>
      <c r="D7" s="66" t="s">
        <v>53</v>
      </c>
      <c r="E7" s="66">
        <v>470</v>
      </c>
      <c r="F7" s="66">
        <v>457</v>
      </c>
      <c r="G7" s="67">
        <v>300021.74</v>
      </c>
      <c r="H7" s="44">
        <f>+G7/E7</f>
        <v>638.3441276595745</v>
      </c>
      <c r="I7" s="67">
        <v>2699.69</v>
      </c>
      <c r="J7" s="67">
        <v>297322.05</v>
      </c>
      <c r="K7" s="67">
        <v>290809.88</v>
      </c>
      <c r="L7" s="28">
        <f>+K7/E7</f>
        <v>618.74442553191489</v>
      </c>
      <c r="M7" s="45">
        <f>+K7/G7</f>
        <v>0.96929602501472067</v>
      </c>
    </row>
    <row r="8" spans="1:13" x14ac:dyDescent="0.45">
      <c r="C8" s="71">
        <v>44583</v>
      </c>
      <c r="D8" s="66" t="s">
        <v>54</v>
      </c>
      <c r="E8" s="66">
        <v>30</v>
      </c>
      <c r="F8" s="66">
        <v>30</v>
      </c>
      <c r="G8" s="67">
        <v>33012.720000000001</v>
      </c>
      <c r="H8" s="44">
        <f t="shared" ref="H8:H11" si="0">+G8/E8</f>
        <v>1100.424</v>
      </c>
      <c r="I8" s="67">
        <v>6.46</v>
      </c>
      <c r="J8" s="67">
        <v>33006.26</v>
      </c>
      <c r="K8" s="67">
        <v>33006.26</v>
      </c>
      <c r="L8" s="28">
        <f>+K8/E8</f>
        <v>1100.2086666666667</v>
      </c>
      <c r="M8" s="45">
        <f t="shared" ref="M8:M11" si="1">+K8/G8</f>
        <v>0.99980431785081636</v>
      </c>
    </row>
    <row r="9" spans="1:13" x14ac:dyDescent="0.45">
      <c r="C9" s="71">
        <v>44583</v>
      </c>
      <c r="D9" s="66" t="s">
        <v>55</v>
      </c>
      <c r="E9" s="66">
        <v>12</v>
      </c>
      <c r="F9" s="66">
        <v>12</v>
      </c>
      <c r="G9" s="67">
        <v>12878.54</v>
      </c>
      <c r="H9" s="44">
        <f t="shared" si="0"/>
        <v>1073.2116666666668</v>
      </c>
      <c r="I9" s="67">
        <v>9511.81</v>
      </c>
      <c r="J9" s="67">
        <v>3366.73</v>
      </c>
      <c r="K9" s="67">
        <v>6662.1</v>
      </c>
      <c r="L9" s="28">
        <f>+K9/E9</f>
        <v>555.17500000000007</v>
      </c>
      <c r="M9" s="45">
        <f t="shared" si="1"/>
        <v>0.51730242713847996</v>
      </c>
    </row>
    <row r="10" spans="1:13" x14ac:dyDescent="0.45">
      <c r="C10" s="71">
        <v>44583</v>
      </c>
      <c r="D10" s="66" t="s">
        <v>56</v>
      </c>
      <c r="E10" s="72">
        <v>3</v>
      </c>
      <c r="F10" s="72">
        <v>3</v>
      </c>
      <c r="G10" s="73">
        <v>1280.97</v>
      </c>
      <c r="H10" s="46">
        <f t="shared" si="0"/>
        <v>426.99</v>
      </c>
      <c r="I10" s="73">
        <v>0</v>
      </c>
      <c r="J10" s="73">
        <v>1280.97</v>
      </c>
      <c r="K10" s="73">
        <v>1280.97</v>
      </c>
      <c r="L10" s="47">
        <f>+K10/E10</f>
        <v>426.99</v>
      </c>
      <c r="M10" s="48">
        <f t="shared" si="1"/>
        <v>1</v>
      </c>
    </row>
    <row r="11" spans="1:13" x14ac:dyDescent="0.45">
      <c r="C11" s="16" t="s">
        <v>57</v>
      </c>
      <c r="D11" s="16"/>
      <c r="E11" s="49">
        <f>SUM(E7:E10)</f>
        <v>515</v>
      </c>
      <c r="F11" s="49">
        <f t="shared" ref="F11:G11" si="2">SUM(F7:F10)</f>
        <v>502</v>
      </c>
      <c r="G11" s="50">
        <f t="shared" si="2"/>
        <v>347193.96999999991</v>
      </c>
      <c r="H11" s="51">
        <f t="shared" si="0"/>
        <v>674.16304854368911</v>
      </c>
      <c r="I11" s="52">
        <f>SUM(I7:I10)</f>
        <v>12217.96</v>
      </c>
      <c r="J11" s="52">
        <f t="shared" ref="J11:K11" si="3">SUM(J7:J10)</f>
        <v>334976.00999999995</v>
      </c>
      <c r="K11" s="52">
        <f t="shared" si="3"/>
        <v>331759.20999999996</v>
      </c>
      <c r="L11" s="25">
        <f>+K11/E11</f>
        <v>644.19264077669891</v>
      </c>
      <c r="M11" s="45">
        <f t="shared" si="1"/>
        <v>0.95554427399761588</v>
      </c>
    </row>
    <row r="15" spans="1:13" x14ac:dyDescent="0.45">
      <c r="B15" s="41" t="s">
        <v>62</v>
      </c>
      <c r="C15" s="40"/>
      <c r="D15" s="40"/>
    </row>
    <row r="16" spans="1:13" ht="28.5" x14ac:dyDescent="0.45">
      <c r="C16" s="16" t="s">
        <v>45</v>
      </c>
      <c r="D16" s="42" t="s">
        <v>58</v>
      </c>
      <c r="E16" s="42" t="s">
        <v>46</v>
      </c>
      <c r="F16" s="42" t="s">
        <v>47</v>
      </c>
      <c r="G16" s="42" t="s">
        <v>59</v>
      </c>
      <c r="H16" s="43" t="s">
        <v>48</v>
      </c>
      <c r="I16" s="42" t="s">
        <v>49</v>
      </c>
      <c r="J16" s="42" t="s">
        <v>50</v>
      </c>
      <c r="K16" s="42" t="s">
        <v>51</v>
      </c>
      <c r="L16" s="43" t="s">
        <v>52</v>
      </c>
      <c r="M16" s="42" t="s">
        <v>60</v>
      </c>
    </row>
    <row r="17" spans="2:16" x14ac:dyDescent="0.45">
      <c r="C17" s="71">
        <v>44583</v>
      </c>
      <c r="D17" s="66" t="s">
        <v>63</v>
      </c>
      <c r="E17" s="72">
        <v>470</v>
      </c>
      <c r="F17" s="72">
        <v>457</v>
      </c>
      <c r="G17" s="73">
        <v>300021.74</v>
      </c>
      <c r="H17" s="46">
        <f>+G17/E17</f>
        <v>638.3441276595745</v>
      </c>
      <c r="I17" s="73">
        <f>(638.34-420)*E17</f>
        <v>102619.80000000002</v>
      </c>
      <c r="J17" s="73">
        <f>+G17-I17</f>
        <v>197401.93999999997</v>
      </c>
      <c r="K17" s="73">
        <f>+E17*420</f>
        <v>197400</v>
      </c>
      <c r="L17" s="74">
        <f>+K17/E17</f>
        <v>420</v>
      </c>
      <c r="M17" s="48">
        <f>+K17/G17</f>
        <v>0.65795232038851592</v>
      </c>
    </row>
    <row r="18" spans="2:16" x14ac:dyDescent="0.45">
      <c r="C18" s="16" t="s">
        <v>57</v>
      </c>
      <c r="D18" s="16"/>
      <c r="E18" s="49">
        <f>+E17</f>
        <v>470</v>
      </c>
      <c r="F18" s="49">
        <f t="shared" ref="F18:M18" si="4">+F17</f>
        <v>457</v>
      </c>
      <c r="G18" s="50">
        <f t="shared" si="4"/>
        <v>300021.74</v>
      </c>
      <c r="H18" s="53">
        <f t="shared" si="4"/>
        <v>638.3441276595745</v>
      </c>
      <c r="I18" s="50">
        <f t="shared" si="4"/>
        <v>102619.80000000002</v>
      </c>
      <c r="J18" s="50">
        <f t="shared" si="4"/>
        <v>197401.93999999997</v>
      </c>
      <c r="K18" s="50">
        <f t="shared" si="4"/>
        <v>197400</v>
      </c>
      <c r="L18" s="53">
        <f t="shared" si="4"/>
        <v>420</v>
      </c>
      <c r="M18" s="54">
        <f t="shared" si="4"/>
        <v>0.65795232038851592</v>
      </c>
    </row>
    <row r="23" spans="2:16" x14ac:dyDescent="0.45">
      <c r="B23" s="41" t="s">
        <v>102</v>
      </c>
    </row>
    <row r="24" spans="2:16" ht="42.75" x14ac:dyDescent="0.45">
      <c r="B24" s="16" t="s">
        <v>119</v>
      </c>
      <c r="C24" s="76" t="s">
        <v>113</v>
      </c>
      <c r="D24" s="55" t="s">
        <v>69</v>
      </c>
      <c r="E24" s="55" t="s">
        <v>73</v>
      </c>
      <c r="F24" s="55" t="s">
        <v>70</v>
      </c>
      <c r="G24" s="56" t="s">
        <v>71</v>
      </c>
      <c r="H24" s="56" t="s">
        <v>72</v>
      </c>
      <c r="J24" s="16" t="s">
        <v>136</v>
      </c>
      <c r="K24" s="76" t="s">
        <v>113</v>
      </c>
      <c r="L24" s="55" t="s">
        <v>69</v>
      </c>
      <c r="M24" s="55" t="s">
        <v>73</v>
      </c>
      <c r="N24" s="55" t="s">
        <v>70</v>
      </c>
      <c r="O24" s="56" t="s">
        <v>71</v>
      </c>
      <c r="P24" s="56" t="s">
        <v>72</v>
      </c>
    </row>
    <row r="25" spans="2:16" x14ac:dyDescent="0.45">
      <c r="B25" s="57" t="s">
        <v>67</v>
      </c>
      <c r="C25" s="77">
        <f>1401*0.213</f>
        <v>298.41300000000001</v>
      </c>
      <c r="D25" s="95">
        <f>+C25*1500</f>
        <v>447619.5</v>
      </c>
      <c r="E25" s="45">
        <f t="shared" ref="E25:E30" si="5">+D25/$D$30</f>
        <v>0.2127872127872128</v>
      </c>
      <c r="F25" s="95">
        <f>+D25*0.7</f>
        <v>313333.64999999997</v>
      </c>
      <c r="G25" s="58">
        <f t="shared" ref="G25:G30" si="6">+F25/$F$30</f>
        <v>0.50176678445229683</v>
      </c>
      <c r="H25" s="45">
        <f>+F25/D25</f>
        <v>0.7</v>
      </c>
      <c r="J25" s="57" t="s">
        <v>67</v>
      </c>
      <c r="K25" s="77">
        <f>1401*0.213</f>
        <v>298.41300000000001</v>
      </c>
      <c r="L25" s="95">
        <f>+K25*1500</f>
        <v>447619.5</v>
      </c>
      <c r="M25" s="45">
        <f>+L25/$L$30</f>
        <v>0.2127872127872128</v>
      </c>
      <c r="N25" s="95">
        <f>+L25*0.9</f>
        <v>402857.55</v>
      </c>
      <c r="O25" s="58">
        <f>+N25/$N$30</f>
        <v>0.45415778251599143</v>
      </c>
      <c r="P25" s="45">
        <f>+N25/L25</f>
        <v>0.9</v>
      </c>
    </row>
    <row r="26" spans="2:16" x14ac:dyDescent="0.45">
      <c r="B26" s="57" t="s">
        <v>64</v>
      </c>
      <c r="C26" s="77">
        <f>1401*0.231</f>
        <v>323.63100000000003</v>
      </c>
      <c r="D26" s="95">
        <f t="shared" ref="D26:D29" si="7">+C26*1500</f>
        <v>485446.50000000006</v>
      </c>
      <c r="E26" s="45">
        <f t="shared" si="5"/>
        <v>0.23076923076923081</v>
      </c>
      <c r="F26" s="95">
        <f>+D26*0.25</f>
        <v>121361.62500000001</v>
      </c>
      <c r="G26" s="58">
        <f t="shared" si="6"/>
        <v>0.1943462897526502</v>
      </c>
      <c r="H26" s="45">
        <f t="shared" ref="H26:H29" si="8">+F26/D26</f>
        <v>0.25</v>
      </c>
      <c r="J26" s="57" t="s">
        <v>64</v>
      </c>
      <c r="K26" s="77">
        <f>1401*0.231</f>
        <v>323.63100000000003</v>
      </c>
      <c r="L26" s="95">
        <f t="shared" ref="L26:L29" si="9">+K26*1500</f>
        <v>485446.50000000006</v>
      </c>
      <c r="M26" s="45">
        <f t="shared" ref="M26:M29" si="10">+L26/$L$30</f>
        <v>0.23076923076923081</v>
      </c>
      <c r="N26" s="95">
        <f>+L26*0.5</f>
        <v>242723.25000000003</v>
      </c>
      <c r="O26" s="58">
        <f t="shared" ref="O26:O29" si="11">+N26/$N$30</f>
        <v>0.27363184079601993</v>
      </c>
      <c r="P26" s="45">
        <f t="shared" ref="P26:P29" si="12">+N26/L26</f>
        <v>0.5</v>
      </c>
    </row>
    <row r="27" spans="2:16" x14ac:dyDescent="0.45">
      <c r="B27" s="57" t="s">
        <v>65</v>
      </c>
      <c r="C27" s="77">
        <f>1401*0.082</f>
        <v>114.88200000000001</v>
      </c>
      <c r="D27" s="95">
        <f t="shared" si="7"/>
        <v>172323</v>
      </c>
      <c r="E27" s="45">
        <f t="shared" si="5"/>
        <v>8.191808191808192E-2</v>
      </c>
      <c r="F27" s="95">
        <f>+D27*0.2</f>
        <v>34464.6</v>
      </c>
      <c r="G27" s="58">
        <f t="shared" si="6"/>
        <v>5.5190980986033991E-2</v>
      </c>
      <c r="H27" s="45">
        <f t="shared" si="8"/>
        <v>0.19999999999999998</v>
      </c>
      <c r="J27" s="57" t="s">
        <v>65</v>
      </c>
      <c r="K27" s="77">
        <f>1401*0.082</f>
        <v>114.88200000000001</v>
      </c>
      <c r="L27" s="95">
        <f t="shared" si="9"/>
        <v>172323</v>
      </c>
      <c r="M27" s="45">
        <f t="shared" si="10"/>
        <v>8.191808191808192E-2</v>
      </c>
      <c r="N27" s="95">
        <f>+L27*0.5</f>
        <v>86161.5</v>
      </c>
      <c r="O27" s="58">
        <f t="shared" si="11"/>
        <v>9.7133380715470272E-2</v>
      </c>
      <c r="P27" s="45">
        <f t="shared" si="12"/>
        <v>0.5</v>
      </c>
    </row>
    <row r="28" spans="2:16" x14ac:dyDescent="0.45">
      <c r="B28" s="57" t="s">
        <v>66</v>
      </c>
      <c r="C28" s="77">
        <f>1401*0.044</f>
        <v>61.643999999999998</v>
      </c>
      <c r="D28" s="95">
        <f t="shared" si="7"/>
        <v>92466</v>
      </c>
      <c r="E28" s="45">
        <f t="shared" si="5"/>
        <v>4.3956043956043959E-2</v>
      </c>
      <c r="F28" s="95">
        <f>+D28*0.7</f>
        <v>64726.2</v>
      </c>
      <c r="G28" s="58">
        <f t="shared" si="6"/>
        <v>0.10365135453474676</v>
      </c>
      <c r="H28" s="45">
        <f t="shared" si="8"/>
        <v>0.7</v>
      </c>
      <c r="J28" s="57" t="s">
        <v>66</v>
      </c>
      <c r="K28" s="77">
        <f>1401*0.044</f>
        <v>61.643999999999998</v>
      </c>
      <c r="L28" s="95">
        <f t="shared" si="9"/>
        <v>92466</v>
      </c>
      <c r="M28" s="45">
        <f t="shared" si="10"/>
        <v>4.3956043956043959E-2</v>
      </c>
      <c r="N28" s="95">
        <f>+L28*0.7</f>
        <v>64726.2</v>
      </c>
      <c r="O28" s="58">
        <f t="shared" si="11"/>
        <v>7.2968490878938641E-2</v>
      </c>
      <c r="P28" s="45">
        <f t="shared" si="12"/>
        <v>0.7</v>
      </c>
    </row>
    <row r="29" spans="2:16" x14ac:dyDescent="0.45">
      <c r="B29" s="57" t="s">
        <v>68</v>
      </c>
      <c r="C29" s="77">
        <f>1401*0.431</f>
        <v>603.83100000000002</v>
      </c>
      <c r="D29" s="96">
        <f t="shared" si="7"/>
        <v>905746.5</v>
      </c>
      <c r="E29" s="48">
        <f t="shared" si="5"/>
        <v>0.43056943056943059</v>
      </c>
      <c r="F29" s="96">
        <f>+D29*0.1</f>
        <v>90574.650000000009</v>
      </c>
      <c r="G29" s="59">
        <f t="shared" si="6"/>
        <v>0.14504459027427227</v>
      </c>
      <c r="H29" s="48">
        <f t="shared" si="8"/>
        <v>0.1</v>
      </c>
      <c r="J29" s="57" t="s">
        <v>68</v>
      </c>
      <c r="K29" s="77">
        <f>1401*0.431</f>
        <v>603.83100000000002</v>
      </c>
      <c r="L29" s="96">
        <f t="shared" si="9"/>
        <v>905746.5</v>
      </c>
      <c r="M29" s="48">
        <f t="shared" si="10"/>
        <v>0.43056943056943059</v>
      </c>
      <c r="N29" s="96">
        <f>+L29*0.1</f>
        <v>90574.650000000009</v>
      </c>
      <c r="O29" s="59">
        <f t="shared" si="11"/>
        <v>0.10210850509357973</v>
      </c>
      <c r="P29" s="48">
        <f t="shared" si="12"/>
        <v>0.1</v>
      </c>
    </row>
    <row r="30" spans="2:16" x14ac:dyDescent="0.45">
      <c r="B30" s="60" t="s">
        <v>57</v>
      </c>
      <c r="C30" s="78">
        <v>1401</v>
      </c>
      <c r="D30" s="97">
        <f>SUM(D25:D29)</f>
        <v>2103601.5</v>
      </c>
      <c r="E30" s="54">
        <f t="shared" si="5"/>
        <v>1</v>
      </c>
      <c r="F30" s="97">
        <f>SUM(F25:F29)</f>
        <v>624460.72499999998</v>
      </c>
      <c r="G30" s="61">
        <f t="shared" si="6"/>
        <v>1</v>
      </c>
      <c r="H30" s="54">
        <f>+F30/D30</f>
        <v>0.29685314685314684</v>
      </c>
      <c r="J30" s="60" t="s">
        <v>57</v>
      </c>
      <c r="K30" s="78">
        <v>1401</v>
      </c>
      <c r="L30" s="97">
        <f>SUM(L25:L29)</f>
        <v>2103601.5</v>
      </c>
      <c r="M30" s="54">
        <f>SUM(M25:M29)</f>
        <v>1</v>
      </c>
      <c r="N30" s="97">
        <f>SUM(N25:N29)</f>
        <v>887043.15</v>
      </c>
      <c r="O30" s="61">
        <f>SUM(O25:O29)</f>
        <v>1</v>
      </c>
      <c r="P30" s="54">
        <f>+N30/L30</f>
        <v>0.4216783216783217</v>
      </c>
    </row>
    <row r="31" spans="2:16" x14ac:dyDescent="0.45">
      <c r="B31" s="62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topLeftCell="B1" workbookViewId="0">
      <selection activeCell="E17" sqref="E17"/>
    </sheetView>
  </sheetViews>
  <sheetFormatPr defaultColWidth="8.86328125" defaultRowHeight="14.25" x14ac:dyDescent="0.45"/>
  <cols>
    <col min="1" max="1" width="15.33203125" style="15" customWidth="1"/>
    <col min="2" max="2" width="22.6640625" style="15" customWidth="1"/>
    <col min="3" max="3" width="15.33203125" style="15" customWidth="1"/>
    <col min="4" max="4" width="13.19921875" style="15" customWidth="1"/>
    <col min="5" max="5" width="14.53125" style="15" customWidth="1"/>
    <col min="6" max="6" width="12.796875" style="15" customWidth="1"/>
    <col min="7" max="8" width="10.796875" style="15" customWidth="1"/>
    <col min="9" max="9" width="12" style="15" customWidth="1"/>
    <col min="10" max="10" width="22.796875" style="15" customWidth="1"/>
    <col min="11" max="11" width="12.46484375" style="15" bestFit="1" customWidth="1"/>
    <col min="12" max="12" width="11.796875" style="15" customWidth="1"/>
    <col min="13" max="13" width="10.796875" style="15" customWidth="1"/>
    <col min="14" max="14" width="12.796875" style="15" customWidth="1"/>
    <col min="15" max="16384" width="8.86328125" style="15"/>
  </cols>
  <sheetData>
    <row r="1" spans="1:13" ht="18.399999999999999" thickBot="1" x14ac:dyDescent="0.6">
      <c r="B1" s="75" t="s">
        <v>104</v>
      </c>
    </row>
    <row r="2" spans="1:13" ht="14.65" thickBot="1" x14ac:dyDescent="0.5">
      <c r="A2" s="16" t="s">
        <v>26</v>
      </c>
      <c r="B2" s="63" t="s">
        <v>99</v>
      </c>
      <c r="C2" s="34"/>
      <c r="D2" s="35" t="s">
        <v>101</v>
      </c>
    </row>
    <row r="3" spans="1:13" ht="14.65" thickBot="1" x14ac:dyDescent="0.5">
      <c r="A3" s="16"/>
      <c r="B3" s="40"/>
      <c r="C3" s="36"/>
      <c r="D3" s="35" t="s">
        <v>100</v>
      </c>
    </row>
    <row r="5" spans="1:13" x14ac:dyDescent="0.45">
      <c r="B5" s="41" t="s">
        <v>61</v>
      </c>
      <c r="C5" s="40"/>
      <c r="D5" s="40"/>
    </row>
    <row r="6" spans="1:13" ht="28.5" x14ac:dyDescent="0.45">
      <c r="C6" s="16" t="s">
        <v>45</v>
      </c>
      <c r="D6" s="42" t="s">
        <v>58</v>
      </c>
      <c r="E6" s="42" t="s">
        <v>46</v>
      </c>
      <c r="F6" s="42" t="s">
        <v>47</v>
      </c>
      <c r="G6" s="42" t="s">
        <v>59</v>
      </c>
      <c r="H6" s="43" t="s">
        <v>48</v>
      </c>
      <c r="I6" s="42" t="s">
        <v>49</v>
      </c>
      <c r="J6" s="42" t="s">
        <v>50</v>
      </c>
      <c r="K6" s="42" t="s">
        <v>51</v>
      </c>
      <c r="L6" s="43" t="s">
        <v>52</v>
      </c>
      <c r="M6" s="42" t="s">
        <v>60</v>
      </c>
    </row>
    <row r="7" spans="1:13" x14ac:dyDescent="0.45">
      <c r="C7" s="37"/>
      <c r="D7" s="7"/>
      <c r="E7" s="7"/>
      <c r="F7" s="7"/>
      <c r="G7" s="8"/>
      <c r="H7" s="44" t="e">
        <f>+G7/E7</f>
        <v>#DIV/0!</v>
      </c>
      <c r="I7" s="8"/>
      <c r="J7" s="8"/>
      <c r="K7" s="8"/>
      <c r="L7" s="28" t="e">
        <f>+K7/E7</f>
        <v>#DIV/0!</v>
      </c>
      <c r="M7" s="45" t="e">
        <f>+K7/G7</f>
        <v>#DIV/0!</v>
      </c>
    </row>
    <row r="8" spans="1:13" x14ac:dyDescent="0.45">
      <c r="C8" s="37"/>
      <c r="D8" s="7"/>
      <c r="E8" s="7"/>
      <c r="F8" s="7"/>
      <c r="G8" s="8"/>
      <c r="H8" s="44" t="e">
        <f t="shared" ref="H8:H11" si="0">+G8/E8</f>
        <v>#DIV/0!</v>
      </c>
      <c r="I8" s="8"/>
      <c r="J8" s="8"/>
      <c r="K8" s="8"/>
      <c r="L8" s="28" t="e">
        <f>+K8/E8</f>
        <v>#DIV/0!</v>
      </c>
      <c r="M8" s="45" t="e">
        <f t="shared" ref="M8:M11" si="1">+K8/G8</f>
        <v>#DIV/0!</v>
      </c>
    </row>
    <row r="9" spans="1:13" x14ac:dyDescent="0.45">
      <c r="C9" s="37"/>
      <c r="D9" s="7"/>
      <c r="E9" s="7"/>
      <c r="F9" s="7"/>
      <c r="G9" s="8"/>
      <c r="H9" s="44" t="e">
        <f t="shared" si="0"/>
        <v>#DIV/0!</v>
      </c>
      <c r="I9" s="8"/>
      <c r="J9" s="8"/>
      <c r="K9" s="8"/>
      <c r="L9" s="28" t="e">
        <f>+K9/E9</f>
        <v>#DIV/0!</v>
      </c>
      <c r="M9" s="45" t="e">
        <f t="shared" si="1"/>
        <v>#DIV/0!</v>
      </c>
    </row>
    <row r="10" spans="1:13" x14ac:dyDescent="0.45">
      <c r="C10" s="37"/>
      <c r="D10" s="7"/>
      <c r="E10" s="38"/>
      <c r="F10" s="38"/>
      <c r="G10" s="39"/>
      <c r="H10" s="46" t="e">
        <f t="shared" si="0"/>
        <v>#DIV/0!</v>
      </c>
      <c r="I10" s="39"/>
      <c r="J10" s="39"/>
      <c r="K10" s="39"/>
      <c r="L10" s="47" t="e">
        <f>+K10/E10</f>
        <v>#DIV/0!</v>
      </c>
      <c r="M10" s="48" t="e">
        <f t="shared" si="1"/>
        <v>#DIV/0!</v>
      </c>
    </row>
    <row r="11" spans="1:13" x14ac:dyDescent="0.45">
      <c r="C11" s="16" t="s">
        <v>57</v>
      </c>
      <c r="D11" s="16"/>
      <c r="E11" s="49">
        <f>SUM(E7:E10)</f>
        <v>0</v>
      </c>
      <c r="F11" s="49">
        <f t="shared" ref="F11:G11" si="2">SUM(F7:F10)</f>
        <v>0</v>
      </c>
      <c r="G11" s="50">
        <f t="shared" si="2"/>
        <v>0</v>
      </c>
      <c r="H11" s="51" t="e">
        <f t="shared" si="0"/>
        <v>#DIV/0!</v>
      </c>
      <c r="I11" s="52">
        <f>SUM(I7:I10)</f>
        <v>0</v>
      </c>
      <c r="J11" s="52">
        <f t="shared" ref="J11:K11" si="3">SUM(J7:J10)</f>
        <v>0</v>
      </c>
      <c r="K11" s="52">
        <f t="shared" si="3"/>
        <v>0</v>
      </c>
      <c r="L11" s="25" t="e">
        <f>+K11/E11</f>
        <v>#DIV/0!</v>
      </c>
      <c r="M11" s="45" t="e">
        <f t="shared" si="1"/>
        <v>#DIV/0!</v>
      </c>
    </row>
    <row r="15" spans="1:13" x14ac:dyDescent="0.45">
      <c r="B15" s="41" t="s">
        <v>62</v>
      </c>
      <c r="C15" s="40"/>
      <c r="D15" s="40"/>
    </row>
    <row r="16" spans="1:13" ht="28.5" x14ac:dyDescent="0.45">
      <c r="C16" s="16" t="s">
        <v>45</v>
      </c>
      <c r="D16" s="42" t="s">
        <v>58</v>
      </c>
      <c r="E16" s="42" t="s">
        <v>46</v>
      </c>
      <c r="F16" s="42" t="s">
        <v>47</v>
      </c>
      <c r="G16" s="42" t="s">
        <v>59</v>
      </c>
      <c r="H16" s="43" t="s">
        <v>48</v>
      </c>
      <c r="I16" s="42" t="s">
        <v>49</v>
      </c>
      <c r="J16" s="42" t="s">
        <v>50</v>
      </c>
      <c r="K16" s="42" t="s">
        <v>51</v>
      </c>
      <c r="L16" s="43" t="s">
        <v>52</v>
      </c>
      <c r="M16" s="42" t="s">
        <v>60</v>
      </c>
    </row>
    <row r="17" spans="2:16" x14ac:dyDescent="0.45">
      <c r="C17" s="37"/>
      <c r="D17" s="7"/>
      <c r="E17" s="38"/>
      <c r="F17" s="38"/>
      <c r="G17" s="39"/>
      <c r="H17" s="46" t="e">
        <f>+G17/E17</f>
        <v>#DIV/0!</v>
      </c>
      <c r="I17" s="39"/>
      <c r="J17" s="39"/>
      <c r="K17" s="39"/>
      <c r="L17" s="47" t="e">
        <f>+K17/E17</f>
        <v>#DIV/0!</v>
      </c>
      <c r="M17" s="48" t="e">
        <f>+K17/G17</f>
        <v>#DIV/0!</v>
      </c>
    </row>
    <row r="18" spans="2:16" x14ac:dyDescent="0.45">
      <c r="C18" s="16" t="s">
        <v>57</v>
      </c>
      <c r="D18" s="16"/>
      <c r="E18" s="49">
        <f>+E17</f>
        <v>0</v>
      </c>
      <c r="F18" s="49">
        <f t="shared" ref="F18:M18" si="4">+F17</f>
        <v>0</v>
      </c>
      <c r="G18" s="50">
        <f t="shared" si="4"/>
        <v>0</v>
      </c>
      <c r="H18" s="53" t="e">
        <f t="shared" si="4"/>
        <v>#DIV/0!</v>
      </c>
      <c r="I18" s="50">
        <f t="shared" si="4"/>
        <v>0</v>
      </c>
      <c r="J18" s="50">
        <f t="shared" si="4"/>
        <v>0</v>
      </c>
      <c r="K18" s="50">
        <f t="shared" si="4"/>
        <v>0</v>
      </c>
      <c r="L18" s="53" t="e">
        <f t="shared" si="4"/>
        <v>#DIV/0!</v>
      </c>
      <c r="M18" s="54" t="e">
        <f t="shared" si="4"/>
        <v>#DIV/0!</v>
      </c>
    </row>
    <row r="23" spans="2:16" x14ac:dyDescent="0.45">
      <c r="B23" s="41" t="s">
        <v>102</v>
      </c>
    </row>
    <row r="24" spans="2:16" ht="42.75" x14ac:dyDescent="0.45">
      <c r="B24" s="16" t="s">
        <v>119</v>
      </c>
      <c r="C24" s="76" t="s">
        <v>113</v>
      </c>
      <c r="D24" s="55" t="s">
        <v>69</v>
      </c>
      <c r="E24" s="55" t="s">
        <v>73</v>
      </c>
      <c r="F24" s="55" t="s">
        <v>70</v>
      </c>
      <c r="G24" s="56" t="s">
        <v>71</v>
      </c>
      <c r="H24" s="56" t="s">
        <v>72</v>
      </c>
      <c r="J24" s="16" t="s">
        <v>118</v>
      </c>
      <c r="K24" s="76" t="s">
        <v>113</v>
      </c>
      <c r="L24" s="55" t="s">
        <v>69</v>
      </c>
      <c r="M24" s="55" t="s">
        <v>73</v>
      </c>
      <c r="N24" s="55" t="s">
        <v>70</v>
      </c>
      <c r="O24" s="56" t="s">
        <v>71</v>
      </c>
      <c r="P24" s="56" t="s">
        <v>72</v>
      </c>
    </row>
    <row r="25" spans="2:16" x14ac:dyDescent="0.45">
      <c r="B25" s="57" t="s">
        <v>67</v>
      </c>
      <c r="C25" s="127"/>
      <c r="D25" s="128"/>
      <c r="E25" s="45" t="e">
        <f t="shared" ref="E25:E30" si="5">+D25/$D$30</f>
        <v>#DIV/0!</v>
      </c>
      <c r="F25" s="128">
        <f>+D25*0.7</f>
        <v>0</v>
      </c>
      <c r="G25" s="58" t="e">
        <f t="shared" ref="G25:G30" si="6">+F25/$F$30</f>
        <v>#DIV/0!</v>
      </c>
      <c r="H25" s="45" t="e">
        <f>+F25/D25</f>
        <v>#DIV/0!</v>
      </c>
      <c r="J25" s="57" t="s">
        <v>67</v>
      </c>
      <c r="K25" s="127"/>
      <c r="L25" s="128"/>
      <c r="M25" s="45" t="e">
        <f t="shared" ref="M25:M30" si="7">+L25/$D$30</f>
        <v>#DIV/0!</v>
      </c>
      <c r="N25" s="128">
        <f>+L25*0.9</f>
        <v>0</v>
      </c>
      <c r="O25" s="58" t="e">
        <f t="shared" ref="O25:O30" si="8">+N25/$F$30</f>
        <v>#DIV/0!</v>
      </c>
      <c r="P25" s="45" t="e">
        <f>+N25/L25</f>
        <v>#DIV/0!</v>
      </c>
    </row>
    <row r="26" spans="2:16" x14ac:dyDescent="0.45">
      <c r="B26" s="57" t="s">
        <v>64</v>
      </c>
      <c r="C26" s="127"/>
      <c r="D26" s="128"/>
      <c r="E26" s="45" t="e">
        <f t="shared" si="5"/>
        <v>#DIV/0!</v>
      </c>
      <c r="F26" s="128">
        <f>+D26*0.25</f>
        <v>0</v>
      </c>
      <c r="G26" s="58" t="e">
        <f t="shared" si="6"/>
        <v>#DIV/0!</v>
      </c>
      <c r="H26" s="45" t="e">
        <f t="shared" ref="H26:H29" si="9">+F26/D26</f>
        <v>#DIV/0!</v>
      </c>
      <c r="J26" s="57" t="s">
        <v>64</v>
      </c>
      <c r="K26" s="127"/>
      <c r="L26" s="128"/>
      <c r="M26" s="45" t="e">
        <f t="shared" si="7"/>
        <v>#DIV/0!</v>
      </c>
      <c r="N26" s="128">
        <f>+L26*0.5</f>
        <v>0</v>
      </c>
      <c r="O26" s="58" t="e">
        <f t="shared" si="8"/>
        <v>#DIV/0!</v>
      </c>
      <c r="P26" s="45" t="e">
        <f t="shared" ref="P26:P29" si="10">+N26/L26</f>
        <v>#DIV/0!</v>
      </c>
    </row>
    <row r="27" spans="2:16" x14ac:dyDescent="0.45">
      <c r="B27" s="57" t="s">
        <v>65</v>
      </c>
      <c r="C27" s="127"/>
      <c r="D27" s="128"/>
      <c r="E27" s="45" t="e">
        <f t="shared" si="5"/>
        <v>#DIV/0!</v>
      </c>
      <c r="F27" s="128">
        <f>+D27*0.2</f>
        <v>0</v>
      </c>
      <c r="G27" s="58" t="e">
        <f t="shared" si="6"/>
        <v>#DIV/0!</v>
      </c>
      <c r="H27" s="45" t="e">
        <f t="shared" si="9"/>
        <v>#DIV/0!</v>
      </c>
      <c r="J27" s="57" t="s">
        <v>65</v>
      </c>
      <c r="K27" s="127"/>
      <c r="L27" s="128"/>
      <c r="M27" s="45" t="e">
        <f t="shared" si="7"/>
        <v>#DIV/0!</v>
      </c>
      <c r="N27" s="128">
        <f>+L27*0.5</f>
        <v>0</v>
      </c>
      <c r="O27" s="58" t="e">
        <f t="shared" si="8"/>
        <v>#DIV/0!</v>
      </c>
      <c r="P27" s="45" t="e">
        <f t="shared" si="10"/>
        <v>#DIV/0!</v>
      </c>
    </row>
    <row r="28" spans="2:16" x14ac:dyDescent="0.45">
      <c r="B28" s="57" t="s">
        <v>66</v>
      </c>
      <c r="C28" s="127"/>
      <c r="D28" s="128"/>
      <c r="E28" s="45" t="e">
        <f t="shared" si="5"/>
        <v>#DIV/0!</v>
      </c>
      <c r="F28" s="128">
        <f>+D28*0.7</f>
        <v>0</v>
      </c>
      <c r="G28" s="58" t="e">
        <f t="shared" si="6"/>
        <v>#DIV/0!</v>
      </c>
      <c r="H28" s="45" t="e">
        <f t="shared" si="9"/>
        <v>#DIV/0!</v>
      </c>
      <c r="J28" s="57" t="s">
        <v>66</v>
      </c>
      <c r="K28" s="127"/>
      <c r="L28" s="128"/>
      <c r="M28" s="45" t="e">
        <f t="shared" si="7"/>
        <v>#DIV/0!</v>
      </c>
      <c r="N28" s="128">
        <f>+L28*0.7</f>
        <v>0</v>
      </c>
      <c r="O28" s="58" t="e">
        <f t="shared" si="8"/>
        <v>#DIV/0!</v>
      </c>
      <c r="P28" s="45" t="e">
        <f t="shared" si="10"/>
        <v>#DIV/0!</v>
      </c>
    </row>
    <row r="29" spans="2:16" x14ac:dyDescent="0.45">
      <c r="B29" s="57" t="s">
        <v>68</v>
      </c>
      <c r="C29" s="127"/>
      <c r="D29" s="128"/>
      <c r="E29" s="48" t="e">
        <f t="shared" si="5"/>
        <v>#DIV/0!</v>
      </c>
      <c r="F29" s="129">
        <f>+D29*0.1</f>
        <v>0</v>
      </c>
      <c r="G29" s="59" t="e">
        <f t="shared" si="6"/>
        <v>#DIV/0!</v>
      </c>
      <c r="H29" s="48" t="e">
        <f t="shared" si="9"/>
        <v>#DIV/0!</v>
      </c>
      <c r="J29" s="57" t="s">
        <v>68</v>
      </c>
      <c r="K29" s="127"/>
      <c r="L29" s="128"/>
      <c r="M29" s="48" t="e">
        <f t="shared" si="7"/>
        <v>#DIV/0!</v>
      </c>
      <c r="N29" s="129">
        <f>+L29*0.1</f>
        <v>0</v>
      </c>
      <c r="O29" s="59" t="e">
        <f t="shared" si="8"/>
        <v>#DIV/0!</v>
      </c>
      <c r="P29" s="48" t="e">
        <f t="shared" si="10"/>
        <v>#DIV/0!</v>
      </c>
    </row>
    <row r="30" spans="2:16" x14ac:dyDescent="0.45">
      <c r="B30" s="60" t="s">
        <v>57</v>
      </c>
      <c r="C30" s="78">
        <f>SUM(C25:C29)</f>
        <v>0</v>
      </c>
      <c r="D30" s="97">
        <f>SUM(D25:D29)</f>
        <v>0</v>
      </c>
      <c r="E30" s="54" t="e">
        <f t="shared" si="5"/>
        <v>#DIV/0!</v>
      </c>
      <c r="F30" s="97">
        <f>SUM(F25:F29)</f>
        <v>0</v>
      </c>
      <c r="G30" s="61" t="e">
        <f t="shared" si="6"/>
        <v>#DIV/0!</v>
      </c>
      <c r="H30" s="54" t="e">
        <f>+F30/D30</f>
        <v>#DIV/0!</v>
      </c>
      <c r="J30" s="60" t="s">
        <v>57</v>
      </c>
      <c r="K30" s="78">
        <f>SUM(K25:K29)</f>
        <v>0</v>
      </c>
      <c r="L30" s="97">
        <f>SUM(L25:L29)</f>
        <v>0</v>
      </c>
      <c r="M30" s="54" t="e">
        <f t="shared" si="7"/>
        <v>#DIV/0!</v>
      </c>
      <c r="N30" s="97">
        <f>SUM(N25:N29)</f>
        <v>0</v>
      </c>
      <c r="O30" s="61" t="e">
        <f t="shared" si="8"/>
        <v>#DIV/0!</v>
      </c>
      <c r="P30" s="54" t="e">
        <f>+N30/L30</f>
        <v>#DIV/0!</v>
      </c>
    </row>
    <row r="31" spans="2:16" x14ac:dyDescent="0.45">
      <c r="B31" s="62"/>
    </row>
  </sheetData>
  <sheetProtection algorithmName="SHA-512" hashValue="TgZ2c+oi2X5tz4hwvan9a5DnpkDNAZ3fVXAzpjv/9UbWDoHmPulBJLVmxQmDr09KivkCTOU1JcaetkKzh4DdAQ==" saltValue="6q8GmNYN3pM7gea1M+l48Q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5774-7E1D-487E-ACFE-EFB44BA58312}">
  <dimension ref="C3:I44"/>
  <sheetViews>
    <sheetView workbookViewId="0">
      <selection sqref="A1:XFD1048576"/>
    </sheetView>
  </sheetViews>
  <sheetFormatPr defaultRowHeight="14.25" x14ac:dyDescent="0.45"/>
  <cols>
    <col min="4" max="4" width="17.33203125" customWidth="1"/>
    <col min="5" max="7" width="12.19921875" customWidth="1"/>
    <col min="8" max="9" width="12.796875" customWidth="1"/>
  </cols>
  <sheetData>
    <row r="3" spans="3:9" x14ac:dyDescent="0.45">
      <c r="C3" s="113" t="s">
        <v>130</v>
      </c>
      <c r="D3" s="114"/>
      <c r="E3" s="114"/>
      <c r="F3" s="114"/>
      <c r="G3" s="114"/>
    </row>
    <row r="4" spans="3:9" ht="28.5" x14ac:dyDescent="0.45">
      <c r="C4" s="103" t="s">
        <v>120</v>
      </c>
      <c r="D4" s="104" t="s">
        <v>121</v>
      </c>
      <c r="E4" s="104" t="s">
        <v>122</v>
      </c>
      <c r="F4" s="104" t="s">
        <v>123</v>
      </c>
      <c r="G4" s="104" t="s">
        <v>124</v>
      </c>
      <c r="H4" s="104" t="s">
        <v>127</v>
      </c>
      <c r="I4" s="104" t="s">
        <v>128</v>
      </c>
    </row>
    <row r="5" spans="3:9" x14ac:dyDescent="0.45">
      <c r="C5" s="105">
        <v>1</v>
      </c>
      <c r="D5" s="105" t="s">
        <v>125</v>
      </c>
      <c r="E5" s="106">
        <v>8760</v>
      </c>
      <c r="F5" s="106">
        <v>1471</v>
      </c>
      <c r="G5" s="107">
        <f>+F5/E5</f>
        <v>0.16792237442922375</v>
      </c>
      <c r="H5" s="109">
        <v>171.98</v>
      </c>
      <c r="I5" s="110">
        <f>+H5*E5</f>
        <v>1506544.7999999998</v>
      </c>
    </row>
    <row r="6" spans="3:9" x14ac:dyDescent="0.45">
      <c r="C6" s="105">
        <v>2</v>
      </c>
      <c r="D6" s="105" t="s">
        <v>125</v>
      </c>
      <c r="E6" s="106">
        <v>8760</v>
      </c>
      <c r="F6" s="106">
        <v>1127</v>
      </c>
      <c r="G6" s="107">
        <f>+F6/E6</f>
        <v>0.12865296803652967</v>
      </c>
      <c r="H6" s="109">
        <v>171.98</v>
      </c>
      <c r="I6" s="110">
        <f t="shared" ref="I6:I8" si="0">+H6*E6</f>
        <v>1506544.7999999998</v>
      </c>
    </row>
    <row r="7" spans="3:9" x14ac:dyDescent="0.45">
      <c r="C7" s="105">
        <v>3</v>
      </c>
      <c r="D7" s="105" t="s">
        <v>125</v>
      </c>
      <c r="E7" s="106">
        <v>8760</v>
      </c>
      <c r="F7" s="106">
        <v>904</v>
      </c>
      <c r="G7" s="107">
        <f>+F7/E7</f>
        <v>0.10319634703196347</v>
      </c>
      <c r="H7" s="109">
        <v>171.98</v>
      </c>
      <c r="I7" s="110">
        <f t="shared" si="0"/>
        <v>1506544.7999999998</v>
      </c>
    </row>
    <row r="8" spans="3:9" x14ac:dyDescent="0.45">
      <c r="C8" s="105">
        <v>4</v>
      </c>
      <c r="D8" s="105" t="s">
        <v>125</v>
      </c>
      <c r="E8" s="106">
        <v>8760</v>
      </c>
      <c r="F8" s="106">
        <v>1267</v>
      </c>
      <c r="G8" s="107">
        <f>+F8/E8</f>
        <v>0.14463470319634703</v>
      </c>
      <c r="H8" s="109">
        <v>171.98</v>
      </c>
      <c r="I8" s="110">
        <f t="shared" si="0"/>
        <v>1506544.7999999998</v>
      </c>
    </row>
    <row r="9" spans="3:9" x14ac:dyDescent="0.45">
      <c r="C9" s="103" t="s">
        <v>57</v>
      </c>
      <c r="D9" s="103"/>
      <c r="E9" s="108">
        <f>SUM(E5:E8)</f>
        <v>35040</v>
      </c>
      <c r="F9" s="108">
        <f>SUM(F5:F8)</f>
        <v>4769</v>
      </c>
      <c r="G9" s="115">
        <f>+F9/E9</f>
        <v>0.13610159817351597</v>
      </c>
      <c r="H9" s="111">
        <v>171.98</v>
      </c>
      <c r="I9" s="112">
        <f>SUM(I5:I8)</f>
        <v>6026179.1999999993</v>
      </c>
    </row>
    <row r="10" spans="3:9" x14ac:dyDescent="0.45">
      <c r="C10" s="81" t="s">
        <v>135</v>
      </c>
      <c r="I10" s="119">
        <f>($F$9*0.75)*500</f>
        <v>1788375</v>
      </c>
    </row>
    <row r="11" spans="3:9" x14ac:dyDescent="0.45">
      <c r="C11" s="81" t="s">
        <v>134</v>
      </c>
      <c r="I11" s="120">
        <f>+I10-I9</f>
        <v>-4237804.1999999993</v>
      </c>
    </row>
    <row r="13" spans="3:9" x14ac:dyDescent="0.45">
      <c r="C13" s="113" t="s">
        <v>131</v>
      </c>
      <c r="D13" s="114"/>
      <c r="E13" s="114"/>
      <c r="F13" s="114"/>
      <c r="G13" s="114"/>
    </row>
    <row r="14" spans="3:9" ht="28.5" x14ac:dyDescent="0.45">
      <c r="C14" s="103" t="s">
        <v>120</v>
      </c>
      <c r="D14" s="104" t="s">
        <v>121</v>
      </c>
      <c r="E14" s="104" t="s">
        <v>122</v>
      </c>
      <c r="F14" s="104" t="s">
        <v>123</v>
      </c>
      <c r="G14" s="104" t="s">
        <v>124</v>
      </c>
      <c r="H14" s="104" t="s">
        <v>127</v>
      </c>
      <c r="I14" s="104" t="s">
        <v>128</v>
      </c>
    </row>
    <row r="15" spans="3:9" x14ac:dyDescent="0.45">
      <c r="C15" s="105">
        <v>1</v>
      </c>
      <c r="D15" s="105" t="s">
        <v>125</v>
      </c>
      <c r="E15" s="106">
        <v>8760</v>
      </c>
      <c r="F15" s="106">
        <v>1671</v>
      </c>
      <c r="G15" s="107">
        <f>+F15/E15</f>
        <v>0.19075342465753425</v>
      </c>
      <c r="H15" s="109">
        <v>171.98</v>
      </c>
      <c r="I15" s="110">
        <f>+H15*E15</f>
        <v>1506544.7999999998</v>
      </c>
    </row>
    <row r="16" spans="3:9" x14ac:dyDescent="0.45">
      <c r="C16" s="105">
        <v>2</v>
      </c>
      <c r="D16" s="105" t="s">
        <v>125</v>
      </c>
      <c r="E16" s="106">
        <v>8760</v>
      </c>
      <c r="F16" s="106">
        <v>1580</v>
      </c>
      <c r="G16" s="107">
        <f>+F16/E16</f>
        <v>0.18036529680365296</v>
      </c>
      <c r="H16" s="109">
        <v>171.98</v>
      </c>
      <c r="I16" s="110">
        <f t="shared" ref="I16:I17" si="1">+H16*E16</f>
        <v>1506544.7999999998</v>
      </c>
    </row>
    <row r="17" spans="3:9" x14ac:dyDescent="0.45">
      <c r="C17" s="105">
        <v>3</v>
      </c>
      <c r="D17" s="105" t="s">
        <v>125</v>
      </c>
      <c r="E17" s="106">
        <v>8760</v>
      </c>
      <c r="F17" s="106">
        <v>1518</v>
      </c>
      <c r="G17" s="107">
        <f>+F17/E17</f>
        <v>0.17328767123287672</v>
      </c>
      <c r="H17" s="109">
        <v>171.98</v>
      </c>
      <c r="I17" s="110">
        <f t="shared" si="1"/>
        <v>1506544.7999999998</v>
      </c>
    </row>
    <row r="18" spans="3:9" x14ac:dyDescent="0.45">
      <c r="C18" s="103" t="s">
        <v>57</v>
      </c>
      <c r="D18" s="103"/>
      <c r="E18" s="108">
        <f>SUM(E15:E17)</f>
        <v>26280</v>
      </c>
      <c r="F18" s="108">
        <f>SUM(F15:F17)</f>
        <v>4769</v>
      </c>
      <c r="G18" s="115">
        <f>+F18/E18</f>
        <v>0.18146879756468798</v>
      </c>
      <c r="H18" s="111">
        <v>171.98</v>
      </c>
      <c r="I18" s="112">
        <f>SUM(I15:I17)</f>
        <v>4519634.3999999994</v>
      </c>
    </row>
    <row r="19" spans="3:9" x14ac:dyDescent="0.45">
      <c r="C19" s="117" t="s">
        <v>129</v>
      </c>
      <c r="I19" s="116">
        <f>+I9-I18</f>
        <v>1506544.7999999998</v>
      </c>
    </row>
    <row r="20" spans="3:9" x14ac:dyDescent="0.45">
      <c r="C20" s="81" t="s">
        <v>135</v>
      </c>
      <c r="I20" s="119">
        <f>($F$9*0.75)*500</f>
        <v>1788375</v>
      </c>
    </row>
    <row r="21" spans="3:9" x14ac:dyDescent="0.45">
      <c r="C21" s="81" t="s">
        <v>134</v>
      </c>
      <c r="I21" s="120">
        <f>+I20-I18</f>
        <v>-2731259.3999999994</v>
      </c>
    </row>
    <row r="24" spans="3:9" x14ac:dyDescent="0.45">
      <c r="C24" s="113" t="s">
        <v>133</v>
      </c>
      <c r="D24" s="114"/>
      <c r="E24" s="114"/>
      <c r="F24" s="114"/>
      <c r="G24" s="114"/>
    </row>
    <row r="25" spans="3:9" ht="28.5" x14ac:dyDescent="0.45">
      <c r="C25" s="103" t="s">
        <v>120</v>
      </c>
      <c r="D25" s="104" t="s">
        <v>121</v>
      </c>
      <c r="E25" s="104" t="s">
        <v>122</v>
      </c>
      <c r="F25" s="104" t="s">
        <v>123</v>
      </c>
      <c r="G25" s="104" t="s">
        <v>124</v>
      </c>
      <c r="H25" s="104" t="s">
        <v>127</v>
      </c>
      <c r="I25" s="104" t="s">
        <v>128</v>
      </c>
    </row>
    <row r="26" spans="3:9" x14ac:dyDescent="0.45">
      <c r="C26" s="105">
        <v>1</v>
      </c>
      <c r="D26" s="105" t="s">
        <v>125</v>
      </c>
      <c r="E26" s="106">
        <v>8760</v>
      </c>
      <c r="F26" s="106">
        <v>1471</v>
      </c>
      <c r="G26" s="107">
        <f>+F26/E26</f>
        <v>0.16792237442922375</v>
      </c>
      <c r="H26" s="109">
        <v>171.98</v>
      </c>
      <c r="I26" s="110">
        <f>+H26*E26</f>
        <v>1506544.7999999998</v>
      </c>
    </row>
    <row r="27" spans="3:9" x14ac:dyDescent="0.45">
      <c r="C27" s="105">
        <v>2</v>
      </c>
      <c r="D27" s="118" t="s">
        <v>126</v>
      </c>
      <c r="E27" s="106">
        <v>8760</v>
      </c>
      <c r="F27" s="106">
        <v>1127</v>
      </c>
      <c r="G27" s="107">
        <f>+F27/E27</f>
        <v>0.12865296803652967</v>
      </c>
      <c r="H27" s="109">
        <v>135.21</v>
      </c>
      <c r="I27" s="110">
        <f t="shared" ref="I27:I29" si="2">+H27*E27</f>
        <v>1184439.6000000001</v>
      </c>
    </row>
    <row r="28" spans="3:9" x14ac:dyDescent="0.45">
      <c r="C28" s="105">
        <v>3</v>
      </c>
      <c r="D28" s="105" t="s">
        <v>125</v>
      </c>
      <c r="E28" s="106">
        <v>8760</v>
      </c>
      <c r="F28" s="106">
        <v>904</v>
      </c>
      <c r="G28" s="107">
        <f>+F28/E28</f>
        <v>0.10319634703196347</v>
      </c>
      <c r="H28" s="109">
        <v>171.98</v>
      </c>
      <c r="I28" s="110">
        <f t="shared" si="2"/>
        <v>1506544.7999999998</v>
      </c>
    </row>
    <row r="29" spans="3:9" x14ac:dyDescent="0.45">
      <c r="C29" s="105">
        <v>4</v>
      </c>
      <c r="D29" s="118" t="s">
        <v>126</v>
      </c>
      <c r="E29" s="106">
        <v>8760</v>
      </c>
      <c r="F29" s="106">
        <v>1267</v>
      </c>
      <c r="G29" s="107">
        <f>+F29/E29</f>
        <v>0.14463470319634703</v>
      </c>
      <c r="H29" s="109">
        <f>+H27</f>
        <v>135.21</v>
      </c>
      <c r="I29" s="110">
        <f t="shared" si="2"/>
        <v>1184439.6000000001</v>
      </c>
    </row>
    <row r="30" spans="3:9" x14ac:dyDescent="0.45">
      <c r="C30" s="103" t="s">
        <v>57</v>
      </c>
      <c r="D30" s="103"/>
      <c r="E30" s="108">
        <f>SUM(E26:E29)</f>
        <v>35040</v>
      </c>
      <c r="F30" s="108">
        <f>SUM(F26:F29)</f>
        <v>4769</v>
      </c>
      <c r="G30" s="115">
        <f>+F30/E30</f>
        <v>0.13610159817351597</v>
      </c>
      <c r="H30" s="111">
        <v>171.98</v>
      </c>
      <c r="I30" s="112">
        <f>SUM(I26:I29)</f>
        <v>5381968.7999999989</v>
      </c>
    </row>
    <row r="31" spans="3:9" x14ac:dyDescent="0.45">
      <c r="C31" s="117" t="s">
        <v>129</v>
      </c>
      <c r="I31" s="116">
        <f>+I9-I30</f>
        <v>644210.40000000037</v>
      </c>
    </row>
    <row r="32" spans="3:9" x14ac:dyDescent="0.45">
      <c r="C32" s="81" t="s">
        <v>135</v>
      </c>
      <c r="I32" s="119">
        <f>($F$9*0.75)*500</f>
        <v>1788375</v>
      </c>
    </row>
    <row r="33" spans="3:9" x14ac:dyDescent="0.45">
      <c r="C33" s="81" t="s">
        <v>134</v>
      </c>
      <c r="I33" s="120">
        <f>+I32-I30</f>
        <v>-3593593.7999999989</v>
      </c>
    </row>
    <row r="36" spans="3:9" x14ac:dyDescent="0.45">
      <c r="C36" s="113" t="s">
        <v>132</v>
      </c>
      <c r="D36" s="114"/>
      <c r="E36" s="114"/>
      <c r="F36" s="114"/>
      <c r="G36" s="114"/>
    </row>
    <row r="37" spans="3:9" ht="28.5" x14ac:dyDescent="0.45">
      <c r="C37" s="103" t="s">
        <v>120</v>
      </c>
      <c r="D37" s="104" t="s">
        <v>121</v>
      </c>
      <c r="E37" s="104" t="s">
        <v>122</v>
      </c>
      <c r="F37" s="104" t="s">
        <v>123</v>
      </c>
      <c r="G37" s="104" t="s">
        <v>124</v>
      </c>
      <c r="H37" s="104" t="s">
        <v>127</v>
      </c>
      <c r="I37" s="104" t="s">
        <v>128</v>
      </c>
    </row>
    <row r="38" spans="3:9" x14ac:dyDescent="0.45">
      <c r="C38" s="105">
        <v>1</v>
      </c>
      <c r="D38" s="105" t="s">
        <v>125</v>
      </c>
      <c r="E38" s="106">
        <v>8760</v>
      </c>
      <c r="F38" s="106">
        <v>1671</v>
      </c>
      <c r="G38" s="107">
        <f>+F38/E38</f>
        <v>0.19075342465753425</v>
      </c>
      <c r="H38" s="109">
        <v>171.98</v>
      </c>
      <c r="I38" s="110">
        <f>+H38*E38</f>
        <v>1506544.7999999998</v>
      </c>
    </row>
    <row r="39" spans="3:9" x14ac:dyDescent="0.45">
      <c r="C39" s="105">
        <v>2</v>
      </c>
      <c r="D39" s="118" t="s">
        <v>126</v>
      </c>
      <c r="E39" s="106">
        <v>8760</v>
      </c>
      <c r="F39" s="106">
        <v>1580</v>
      </c>
      <c r="G39" s="107">
        <f>+F39/E39</f>
        <v>0.18036529680365296</v>
      </c>
      <c r="H39" s="109">
        <v>135.21</v>
      </c>
      <c r="I39" s="110">
        <f t="shared" ref="I39:I40" si="3">+H39*E39</f>
        <v>1184439.6000000001</v>
      </c>
    </row>
    <row r="40" spans="3:9" x14ac:dyDescent="0.45">
      <c r="C40" s="105">
        <v>3</v>
      </c>
      <c r="D40" s="105" t="s">
        <v>125</v>
      </c>
      <c r="E40" s="106">
        <v>8760</v>
      </c>
      <c r="F40" s="106">
        <v>1518</v>
      </c>
      <c r="G40" s="107">
        <f>+F40/E40</f>
        <v>0.17328767123287672</v>
      </c>
      <c r="H40" s="109">
        <v>171.98</v>
      </c>
      <c r="I40" s="110">
        <f t="shared" si="3"/>
        <v>1506544.7999999998</v>
      </c>
    </row>
    <row r="41" spans="3:9" x14ac:dyDescent="0.45">
      <c r="C41" s="103" t="s">
        <v>57</v>
      </c>
      <c r="D41" s="103"/>
      <c r="E41" s="108">
        <f>SUM(E38:E40)</f>
        <v>26280</v>
      </c>
      <c r="F41" s="108">
        <f>SUM(F38:F40)</f>
        <v>4769</v>
      </c>
      <c r="G41" s="115">
        <f>+F41/E41</f>
        <v>0.18146879756468798</v>
      </c>
      <c r="H41" s="111">
        <v>171.98</v>
      </c>
      <c r="I41" s="112">
        <f>SUM(I38:I40)</f>
        <v>4197529.1999999993</v>
      </c>
    </row>
    <row r="42" spans="3:9" x14ac:dyDescent="0.45">
      <c r="C42" s="117" t="s">
        <v>129</v>
      </c>
      <c r="I42" s="116">
        <f>+I9-I41</f>
        <v>1828650</v>
      </c>
    </row>
    <row r="43" spans="3:9" x14ac:dyDescent="0.45">
      <c r="C43" s="81" t="s">
        <v>135</v>
      </c>
      <c r="I43" s="119">
        <f>($F$9*0.75)*500</f>
        <v>1788375</v>
      </c>
    </row>
    <row r="44" spans="3:9" x14ac:dyDescent="0.45">
      <c r="C44" s="81" t="s">
        <v>134</v>
      </c>
      <c r="I44" s="120">
        <f>+I43-I41</f>
        <v>-2409154.1999999993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3FDC-3B7B-4A37-871E-FB16F93805EA}">
  <dimension ref="C3:I44"/>
  <sheetViews>
    <sheetView workbookViewId="0">
      <selection activeCell="L13" sqref="L13"/>
    </sheetView>
  </sheetViews>
  <sheetFormatPr defaultColWidth="8.86328125" defaultRowHeight="14.25" x14ac:dyDescent="0.45"/>
  <cols>
    <col min="1" max="3" width="8.86328125" style="3"/>
    <col min="4" max="4" width="17.33203125" style="3" customWidth="1"/>
    <col min="5" max="7" width="12.19921875" style="3" customWidth="1"/>
    <col min="8" max="9" width="12.796875" style="3" customWidth="1"/>
    <col min="10" max="16384" width="8.86328125" style="3"/>
  </cols>
  <sheetData>
    <row r="3" spans="3:9" x14ac:dyDescent="0.45">
      <c r="C3" s="133" t="s">
        <v>130</v>
      </c>
      <c r="D3" s="134"/>
      <c r="E3" s="134"/>
      <c r="F3" s="134"/>
      <c r="G3" s="134"/>
    </row>
    <row r="4" spans="3:9" ht="28.5" x14ac:dyDescent="0.45">
      <c r="C4" s="135" t="s">
        <v>120</v>
      </c>
      <c r="D4" s="136" t="s">
        <v>121</v>
      </c>
      <c r="E4" s="136" t="s">
        <v>122</v>
      </c>
      <c r="F4" s="136" t="s">
        <v>123</v>
      </c>
      <c r="G4" s="136" t="s">
        <v>124</v>
      </c>
      <c r="H4" s="136" t="s">
        <v>127</v>
      </c>
      <c r="I4" s="136" t="s">
        <v>128</v>
      </c>
    </row>
    <row r="5" spans="3:9" x14ac:dyDescent="0.45">
      <c r="C5" s="137">
        <v>1</v>
      </c>
      <c r="D5" s="137" t="s">
        <v>125</v>
      </c>
      <c r="E5" s="130"/>
      <c r="F5" s="130"/>
      <c r="G5" s="89" t="e">
        <f>+F5/E5</f>
        <v>#DIV/0!</v>
      </c>
      <c r="H5" s="131"/>
      <c r="I5" s="143">
        <f>+H5*E5</f>
        <v>0</v>
      </c>
    </row>
    <row r="6" spans="3:9" x14ac:dyDescent="0.45">
      <c r="C6" s="137">
        <v>2</v>
      </c>
      <c r="D6" s="137" t="s">
        <v>125</v>
      </c>
      <c r="E6" s="130"/>
      <c r="F6" s="130"/>
      <c r="G6" s="89" t="e">
        <f>+F6/E6</f>
        <v>#DIV/0!</v>
      </c>
      <c r="H6" s="131"/>
      <c r="I6" s="143">
        <f t="shared" ref="I6:I8" si="0">+H6*E6</f>
        <v>0</v>
      </c>
    </row>
    <row r="7" spans="3:9" x14ac:dyDescent="0.45">
      <c r="C7" s="137">
        <v>3</v>
      </c>
      <c r="D7" s="137" t="s">
        <v>125</v>
      </c>
      <c r="E7" s="130"/>
      <c r="F7" s="130"/>
      <c r="G7" s="89" t="e">
        <f>+F7/E7</f>
        <v>#DIV/0!</v>
      </c>
      <c r="H7" s="131"/>
      <c r="I7" s="143">
        <f t="shared" si="0"/>
        <v>0</v>
      </c>
    </row>
    <row r="8" spans="3:9" x14ac:dyDescent="0.45">
      <c r="C8" s="137">
        <v>4</v>
      </c>
      <c r="D8" s="137" t="s">
        <v>125</v>
      </c>
      <c r="E8" s="130"/>
      <c r="F8" s="130"/>
      <c r="G8" s="89" t="e">
        <f>+F8/E8</f>
        <v>#DIV/0!</v>
      </c>
      <c r="H8" s="131"/>
      <c r="I8" s="143">
        <f t="shared" si="0"/>
        <v>0</v>
      </c>
    </row>
    <row r="9" spans="3:9" x14ac:dyDescent="0.45">
      <c r="C9" s="135" t="s">
        <v>57</v>
      </c>
      <c r="D9" s="135"/>
      <c r="E9" s="142">
        <f>SUM(E5:E8)</f>
        <v>0</v>
      </c>
      <c r="F9" s="142">
        <f>SUM(F5:F8)</f>
        <v>0</v>
      </c>
      <c r="G9" s="141" t="e">
        <f>+F9/E9</f>
        <v>#DIV/0!</v>
      </c>
      <c r="H9" s="132">
        <v>0</v>
      </c>
      <c r="I9" s="92">
        <f>SUM(I5:I8)</f>
        <v>0</v>
      </c>
    </row>
    <row r="10" spans="3:9" x14ac:dyDescent="0.45">
      <c r="C10" s="1" t="s">
        <v>135</v>
      </c>
      <c r="I10" s="144">
        <f>($F$9*0.75)*500</f>
        <v>0</v>
      </c>
    </row>
    <row r="11" spans="3:9" x14ac:dyDescent="0.45">
      <c r="C11" s="1" t="s">
        <v>134</v>
      </c>
      <c r="I11" s="145">
        <f>+I10-I9</f>
        <v>0</v>
      </c>
    </row>
    <row r="13" spans="3:9" x14ac:dyDescent="0.45">
      <c r="C13" s="133" t="s">
        <v>131</v>
      </c>
      <c r="D13" s="134"/>
      <c r="E13" s="134"/>
      <c r="F13" s="134"/>
      <c r="G13" s="134"/>
    </row>
    <row r="14" spans="3:9" ht="28.5" x14ac:dyDescent="0.45">
      <c r="C14" s="135" t="s">
        <v>120</v>
      </c>
      <c r="D14" s="136" t="s">
        <v>121</v>
      </c>
      <c r="E14" s="136" t="s">
        <v>122</v>
      </c>
      <c r="F14" s="136" t="s">
        <v>123</v>
      </c>
      <c r="G14" s="138" t="s">
        <v>124</v>
      </c>
      <c r="H14" s="136" t="s">
        <v>127</v>
      </c>
      <c r="I14" s="136" t="s">
        <v>128</v>
      </c>
    </row>
    <row r="15" spans="3:9" x14ac:dyDescent="0.45">
      <c r="C15" s="137">
        <v>1</v>
      </c>
      <c r="D15" s="137" t="s">
        <v>125</v>
      </c>
      <c r="E15" s="130"/>
      <c r="F15" s="130"/>
      <c r="G15" s="89" t="e">
        <f>+F15/E15</f>
        <v>#DIV/0!</v>
      </c>
      <c r="H15" s="131"/>
      <c r="I15" s="143">
        <f>+H15*E15</f>
        <v>0</v>
      </c>
    </row>
    <row r="16" spans="3:9" x14ac:dyDescent="0.45">
      <c r="C16" s="137">
        <v>2</v>
      </c>
      <c r="D16" s="137" t="s">
        <v>125</v>
      </c>
      <c r="E16" s="130"/>
      <c r="F16" s="130"/>
      <c r="G16" s="89" t="e">
        <f>+F16/E16</f>
        <v>#DIV/0!</v>
      </c>
      <c r="H16" s="131"/>
      <c r="I16" s="143">
        <f t="shared" ref="I16:I17" si="1">+H16*E16</f>
        <v>0</v>
      </c>
    </row>
    <row r="17" spans="3:9" x14ac:dyDescent="0.45">
      <c r="C17" s="137">
        <v>3</v>
      </c>
      <c r="D17" s="137" t="s">
        <v>125</v>
      </c>
      <c r="E17" s="130"/>
      <c r="F17" s="130"/>
      <c r="G17" s="89" t="e">
        <f>+F17/E17</f>
        <v>#DIV/0!</v>
      </c>
      <c r="H17" s="131"/>
      <c r="I17" s="143">
        <f t="shared" si="1"/>
        <v>0</v>
      </c>
    </row>
    <row r="18" spans="3:9" x14ac:dyDescent="0.45">
      <c r="C18" s="135" t="s">
        <v>57</v>
      </c>
      <c r="D18" s="135"/>
      <c r="E18" s="142">
        <f>SUM(E15:E17)</f>
        <v>0</v>
      </c>
      <c r="F18" s="142">
        <f>SUM(F15:F17)</f>
        <v>0</v>
      </c>
      <c r="G18" s="141" t="e">
        <f>+F18/E18</f>
        <v>#DIV/0!</v>
      </c>
      <c r="H18" s="132"/>
      <c r="I18" s="92">
        <f>SUM(I15:I17)</f>
        <v>0</v>
      </c>
    </row>
    <row r="19" spans="3:9" x14ac:dyDescent="0.45">
      <c r="C19" s="139" t="s">
        <v>129</v>
      </c>
      <c r="I19" s="92">
        <f>+I9-I18</f>
        <v>0</v>
      </c>
    </row>
    <row r="20" spans="3:9" x14ac:dyDescent="0.45">
      <c r="C20" s="1" t="s">
        <v>135</v>
      </c>
      <c r="I20" s="144">
        <f>($F$9*0.75)*500</f>
        <v>0</v>
      </c>
    </row>
    <row r="21" spans="3:9" x14ac:dyDescent="0.45">
      <c r="C21" s="1" t="s">
        <v>134</v>
      </c>
      <c r="I21" s="145">
        <f>+I20-I18</f>
        <v>0</v>
      </c>
    </row>
    <row r="24" spans="3:9" x14ac:dyDescent="0.45">
      <c r="C24" s="133" t="s">
        <v>133</v>
      </c>
      <c r="D24" s="134"/>
      <c r="E24" s="134"/>
      <c r="F24" s="134"/>
      <c r="G24" s="134"/>
    </row>
    <row r="25" spans="3:9" ht="28.5" x14ac:dyDescent="0.45">
      <c r="C25" s="135" t="s">
        <v>120</v>
      </c>
      <c r="D25" s="136" t="s">
        <v>121</v>
      </c>
      <c r="E25" s="136" t="s">
        <v>122</v>
      </c>
      <c r="F25" s="136" t="s">
        <v>123</v>
      </c>
      <c r="G25" s="136" t="s">
        <v>124</v>
      </c>
      <c r="H25" s="136" t="s">
        <v>127</v>
      </c>
      <c r="I25" s="136" t="s">
        <v>128</v>
      </c>
    </row>
    <row r="26" spans="3:9" x14ac:dyDescent="0.45">
      <c r="C26" s="137">
        <v>1</v>
      </c>
      <c r="D26" s="137" t="s">
        <v>125</v>
      </c>
      <c r="E26" s="130"/>
      <c r="F26" s="130"/>
      <c r="G26" s="89" t="e">
        <f>+F26/E26</f>
        <v>#DIV/0!</v>
      </c>
      <c r="H26" s="131"/>
      <c r="I26" s="143">
        <f>+H26*E26</f>
        <v>0</v>
      </c>
    </row>
    <row r="27" spans="3:9" x14ac:dyDescent="0.45">
      <c r="C27" s="137">
        <v>2</v>
      </c>
      <c r="D27" s="140" t="s">
        <v>126</v>
      </c>
      <c r="E27" s="130"/>
      <c r="F27" s="130"/>
      <c r="G27" s="89" t="e">
        <f>+F27/E27</f>
        <v>#DIV/0!</v>
      </c>
      <c r="H27" s="131"/>
      <c r="I27" s="143">
        <f t="shared" ref="I27:I29" si="2">+H27*E27</f>
        <v>0</v>
      </c>
    </row>
    <row r="28" spans="3:9" x14ac:dyDescent="0.45">
      <c r="C28" s="137">
        <v>3</v>
      </c>
      <c r="D28" s="137" t="s">
        <v>125</v>
      </c>
      <c r="E28" s="130"/>
      <c r="F28" s="130"/>
      <c r="G28" s="89" t="e">
        <f>+F28/E28</f>
        <v>#DIV/0!</v>
      </c>
      <c r="H28" s="131"/>
      <c r="I28" s="143">
        <f t="shared" si="2"/>
        <v>0</v>
      </c>
    </row>
    <row r="29" spans="3:9" x14ac:dyDescent="0.45">
      <c r="C29" s="137">
        <v>4</v>
      </c>
      <c r="D29" s="140" t="s">
        <v>126</v>
      </c>
      <c r="E29" s="130"/>
      <c r="F29" s="130"/>
      <c r="G29" s="89" t="e">
        <f>+F29/E29</f>
        <v>#DIV/0!</v>
      </c>
      <c r="H29" s="131"/>
      <c r="I29" s="143">
        <f t="shared" si="2"/>
        <v>0</v>
      </c>
    </row>
    <row r="30" spans="3:9" x14ac:dyDescent="0.45">
      <c r="C30" s="135" t="s">
        <v>57</v>
      </c>
      <c r="D30" s="135"/>
      <c r="E30" s="142">
        <f>SUM(E26:E29)</f>
        <v>0</v>
      </c>
      <c r="F30" s="142">
        <f>SUM(F26:F29)</f>
        <v>0</v>
      </c>
      <c r="G30" s="141" t="e">
        <f>+F30/E30</f>
        <v>#DIV/0!</v>
      </c>
      <c r="H30" s="132"/>
      <c r="I30" s="92">
        <f>SUM(I26:I29)</f>
        <v>0</v>
      </c>
    </row>
    <row r="31" spans="3:9" x14ac:dyDescent="0.45">
      <c r="C31" s="139" t="s">
        <v>129</v>
      </c>
      <c r="I31" s="92">
        <f>+I9-I30</f>
        <v>0</v>
      </c>
    </row>
    <row r="32" spans="3:9" x14ac:dyDescent="0.45">
      <c r="C32" s="1" t="s">
        <v>135</v>
      </c>
      <c r="I32" s="144">
        <f>($F$9*0.75)*500</f>
        <v>0</v>
      </c>
    </row>
    <row r="33" spans="3:9" x14ac:dyDescent="0.45">
      <c r="C33" s="1" t="s">
        <v>134</v>
      </c>
      <c r="I33" s="145">
        <f>+I32-I30</f>
        <v>0</v>
      </c>
    </row>
    <row r="36" spans="3:9" x14ac:dyDescent="0.45">
      <c r="C36" s="133" t="s">
        <v>132</v>
      </c>
      <c r="D36" s="134"/>
      <c r="E36" s="134"/>
      <c r="F36" s="134"/>
      <c r="G36" s="134"/>
    </row>
    <row r="37" spans="3:9" ht="28.5" x14ac:dyDescent="0.45">
      <c r="C37" s="135" t="s">
        <v>120</v>
      </c>
      <c r="D37" s="136" t="s">
        <v>121</v>
      </c>
      <c r="E37" s="136" t="s">
        <v>122</v>
      </c>
      <c r="F37" s="136" t="s">
        <v>123</v>
      </c>
      <c r="G37" s="136" t="s">
        <v>124</v>
      </c>
      <c r="H37" s="136" t="s">
        <v>127</v>
      </c>
      <c r="I37" s="136" t="s">
        <v>128</v>
      </c>
    </row>
    <row r="38" spans="3:9" x14ac:dyDescent="0.45">
      <c r="C38" s="137">
        <v>1</v>
      </c>
      <c r="D38" s="137" t="s">
        <v>125</v>
      </c>
      <c r="E38" s="130"/>
      <c r="F38" s="130"/>
      <c r="G38" s="89" t="e">
        <f>+F38/E38</f>
        <v>#DIV/0!</v>
      </c>
      <c r="H38" s="131"/>
      <c r="I38" s="143">
        <f>+H38*E38</f>
        <v>0</v>
      </c>
    </row>
    <row r="39" spans="3:9" x14ac:dyDescent="0.45">
      <c r="C39" s="137">
        <v>2</v>
      </c>
      <c r="D39" s="140" t="s">
        <v>126</v>
      </c>
      <c r="E39" s="130"/>
      <c r="F39" s="130"/>
      <c r="G39" s="89" t="e">
        <f>+F39/E39</f>
        <v>#DIV/0!</v>
      </c>
      <c r="H39" s="131"/>
      <c r="I39" s="143">
        <f t="shared" ref="I39:I40" si="3">+H39*E39</f>
        <v>0</v>
      </c>
    </row>
    <row r="40" spans="3:9" x14ac:dyDescent="0.45">
      <c r="C40" s="137">
        <v>3</v>
      </c>
      <c r="D40" s="137" t="s">
        <v>125</v>
      </c>
      <c r="E40" s="130"/>
      <c r="F40" s="130"/>
      <c r="G40" s="89" t="e">
        <f>+F40/E40</f>
        <v>#DIV/0!</v>
      </c>
      <c r="H40" s="131"/>
      <c r="I40" s="143">
        <f t="shared" si="3"/>
        <v>0</v>
      </c>
    </row>
    <row r="41" spans="3:9" x14ac:dyDescent="0.45">
      <c r="C41" s="135" t="s">
        <v>57</v>
      </c>
      <c r="D41" s="135"/>
      <c r="E41" s="142">
        <f>SUM(E38:E40)</f>
        <v>0</v>
      </c>
      <c r="F41" s="142">
        <f>SUM(F38:F40)</f>
        <v>0</v>
      </c>
      <c r="G41" s="141" t="e">
        <f>+F41/E41</f>
        <v>#DIV/0!</v>
      </c>
      <c r="H41" s="132"/>
      <c r="I41" s="92">
        <f>SUM(I38:I40)</f>
        <v>0</v>
      </c>
    </row>
    <row r="42" spans="3:9" x14ac:dyDescent="0.45">
      <c r="C42" s="139" t="s">
        <v>129</v>
      </c>
      <c r="E42" s="15"/>
      <c r="F42" s="15"/>
      <c r="G42" s="15"/>
      <c r="I42" s="92">
        <f>+I9-I41</f>
        <v>0</v>
      </c>
    </row>
    <row r="43" spans="3:9" x14ac:dyDescent="0.45">
      <c r="C43" s="1" t="s">
        <v>135</v>
      </c>
      <c r="I43" s="144">
        <f>($F$9*0.75)*500</f>
        <v>0</v>
      </c>
    </row>
    <row r="44" spans="3:9" x14ac:dyDescent="0.45">
      <c r="C44" s="1" t="s">
        <v>134</v>
      </c>
      <c r="I44" s="145">
        <f>+I43-I41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Service Delivery Cost Example</vt:lpstr>
      <vt:lpstr>Service Delivery Cost Template</vt:lpstr>
      <vt:lpstr>Economic Analysis Template</vt:lpstr>
      <vt:lpstr>Economic Analysis Example</vt:lpstr>
      <vt:lpstr>Payer Analysis Example</vt:lpstr>
      <vt:lpstr>Payer Analysis Template</vt:lpstr>
      <vt:lpstr>Service Changes Example</vt:lpstr>
      <vt:lpstr>Service Changes Template</vt:lpstr>
    </vt:vector>
  </TitlesOfParts>
  <Company>Medstar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Zavadsky</dc:creator>
  <cp:lastModifiedBy>arior</cp:lastModifiedBy>
  <dcterms:created xsi:type="dcterms:W3CDTF">2017-01-03T02:51:20Z</dcterms:created>
  <dcterms:modified xsi:type="dcterms:W3CDTF">2022-07-20T15:48:08Z</dcterms:modified>
</cp:coreProperties>
</file>